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5\Lista en preparacion\"/>
    </mc:Choice>
  </mc:AlternateContent>
  <bookViews>
    <workbookView xWindow="0" yWindow="0" windowWidth="11265" windowHeight="8085"/>
  </bookViews>
  <sheets>
    <sheet name="Artículos Publicitar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78" i="1" l="1"/>
  <c r="V578" i="1" s="1"/>
  <c r="W578" i="1" s="1"/>
  <c r="N578" i="1" l="1"/>
  <c r="O578" i="1" s="1"/>
  <c r="P578" i="1"/>
  <c r="Q578" i="1" s="1"/>
  <c r="G578" i="1"/>
  <c r="H578" i="1"/>
  <c r="I578" i="1" s="1"/>
  <c r="T578" i="1"/>
  <c r="U578" i="1" s="1"/>
  <c r="L578" i="1"/>
  <c r="M578" i="1" s="1"/>
  <c r="R578" i="1"/>
  <c r="S578" i="1" s="1"/>
  <c r="J578" i="1"/>
  <c r="K578" i="1" s="1"/>
  <c r="F508" i="1"/>
  <c r="F602" i="1"/>
  <c r="T602" i="1" s="1"/>
  <c r="F651" i="1"/>
  <c r="P651" i="1" s="1"/>
  <c r="Q651" i="1" s="1"/>
  <c r="V651" i="1" l="1"/>
  <c r="W651" i="1" s="1"/>
  <c r="H602" i="1"/>
  <c r="I602" i="1" s="1"/>
  <c r="J602" i="1"/>
  <c r="K602" i="1" s="1"/>
  <c r="L602" i="1"/>
  <c r="R602" i="1"/>
  <c r="S602" i="1" s="1"/>
  <c r="H651" i="1"/>
  <c r="I651" i="1" s="1"/>
  <c r="U602" i="1"/>
  <c r="N602" i="1"/>
  <c r="O602" i="1" s="1"/>
  <c r="V602" i="1"/>
  <c r="W602" i="1" s="1"/>
  <c r="P602" i="1"/>
  <c r="M602" i="1"/>
  <c r="Q602" i="1"/>
  <c r="G602" i="1"/>
  <c r="J651" i="1"/>
  <c r="K651" i="1" s="1"/>
  <c r="R651" i="1"/>
  <c r="S651" i="1" s="1"/>
  <c r="G651" i="1"/>
  <c r="L651" i="1"/>
  <c r="M651" i="1" s="1"/>
  <c r="T651" i="1"/>
  <c r="U651" i="1" s="1"/>
  <c r="N651" i="1"/>
  <c r="O651" i="1" s="1"/>
  <c r="F430" i="1" l="1"/>
  <c r="F429" i="1"/>
  <c r="F310" i="1"/>
  <c r="F314" i="1"/>
  <c r="F475" i="1"/>
  <c r="F481" i="1"/>
  <c r="V481" i="1" s="1"/>
  <c r="W481" i="1" s="1"/>
  <c r="F415" i="1"/>
  <c r="F381" i="1"/>
  <c r="F380" i="1"/>
  <c r="F371" i="1"/>
  <c r="F372" i="1"/>
  <c r="F375" i="1"/>
  <c r="F427" i="1"/>
  <c r="F424" i="1"/>
  <c r="F423" i="1"/>
  <c r="F409" i="1"/>
  <c r="F390" i="1"/>
  <c r="F414" i="1"/>
  <c r="F407" i="1"/>
  <c r="F333" i="1"/>
  <c r="F435" i="1"/>
  <c r="F410" i="1"/>
  <c r="F378" i="1"/>
  <c r="F379" i="1"/>
  <c r="F357" i="1"/>
  <c r="F408" i="1"/>
  <c r="F389" i="1"/>
  <c r="G389" i="1" s="1"/>
  <c r="F353" i="1"/>
  <c r="F351" i="1"/>
  <c r="F350" i="1"/>
  <c r="F349" i="1"/>
  <c r="F348" i="1"/>
  <c r="F271" i="1"/>
  <c r="F173" i="1"/>
  <c r="F167" i="1"/>
  <c r="L481" i="1" l="1"/>
  <c r="M481" i="1" s="1"/>
  <c r="P481" i="1"/>
  <c r="Q481" i="1" s="1"/>
  <c r="T481" i="1"/>
  <c r="U481" i="1" s="1"/>
  <c r="G481" i="1"/>
  <c r="J481" i="1"/>
  <c r="K481" i="1" s="1"/>
  <c r="N481" i="1"/>
  <c r="O481" i="1" s="1"/>
  <c r="R481" i="1"/>
  <c r="S481" i="1" s="1"/>
  <c r="N389" i="1"/>
  <c r="O389" i="1" s="1"/>
  <c r="R389" i="1"/>
  <c r="S389" i="1" s="1"/>
  <c r="V389" i="1"/>
  <c r="W389" i="1" s="1"/>
  <c r="L389" i="1"/>
  <c r="M389" i="1" s="1"/>
  <c r="P389" i="1"/>
  <c r="Q389" i="1" s="1"/>
  <c r="T389" i="1"/>
  <c r="U389" i="1" s="1"/>
  <c r="G289" i="1"/>
  <c r="V221" i="1"/>
  <c r="W221" i="1" s="1"/>
  <c r="T221" i="1"/>
  <c r="U221" i="1" s="1"/>
  <c r="R221" i="1"/>
  <c r="S221" i="1" s="1"/>
  <c r="P221" i="1"/>
  <c r="Q221" i="1" s="1"/>
  <c r="N221" i="1"/>
  <c r="O221" i="1" s="1"/>
  <c r="L221" i="1"/>
  <c r="M221" i="1" s="1"/>
  <c r="J221" i="1"/>
  <c r="K221" i="1" s="1"/>
  <c r="V223" i="1"/>
  <c r="W223" i="1" s="1"/>
  <c r="T223" i="1"/>
  <c r="U223" i="1" s="1"/>
  <c r="R223" i="1"/>
  <c r="S223" i="1" s="1"/>
  <c r="P223" i="1"/>
  <c r="Q223" i="1" s="1"/>
  <c r="N223" i="1"/>
  <c r="O223" i="1" s="1"/>
  <c r="L223" i="1"/>
  <c r="M223" i="1" s="1"/>
  <c r="J223" i="1"/>
  <c r="K223" i="1" s="1"/>
  <c r="V224" i="1"/>
  <c r="W224" i="1" s="1"/>
  <c r="T224" i="1"/>
  <c r="U224" i="1" s="1"/>
  <c r="R224" i="1"/>
  <c r="S224" i="1" s="1"/>
  <c r="P224" i="1"/>
  <c r="Q224" i="1" s="1"/>
  <c r="N224" i="1"/>
  <c r="O224" i="1" s="1"/>
  <c r="L224" i="1"/>
  <c r="M224" i="1" s="1"/>
  <c r="J224" i="1"/>
  <c r="K224" i="1" s="1"/>
  <c r="V225" i="1"/>
  <c r="W225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N226" i="1"/>
  <c r="L226" i="1"/>
  <c r="J226" i="1"/>
  <c r="V226" i="1"/>
  <c r="T226" i="1"/>
  <c r="R226" i="1"/>
  <c r="P226" i="1"/>
  <c r="V289" i="1" l="1"/>
  <c r="W289" i="1" s="1"/>
  <c r="R289" i="1"/>
  <c r="S289" i="1" s="1"/>
  <c r="T289" i="1"/>
  <c r="U289" i="1" s="1"/>
  <c r="L289" i="1"/>
  <c r="M289" i="1" s="1"/>
  <c r="N289" i="1"/>
  <c r="O289" i="1" s="1"/>
  <c r="P289" i="1"/>
  <c r="Q289" i="1" s="1"/>
  <c r="J289" i="1"/>
  <c r="K289" i="1" s="1"/>
  <c r="G15" i="1"/>
  <c r="T15" i="1"/>
  <c r="U15" i="1" s="1"/>
  <c r="J15" i="1" l="1"/>
  <c r="K15" i="1" s="1"/>
  <c r="P15" i="1"/>
  <c r="Q15" i="1" s="1"/>
  <c r="L15" i="1"/>
  <c r="M15" i="1" s="1"/>
  <c r="N15" i="1"/>
  <c r="O15" i="1" s="1"/>
  <c r="R15" i="1"/>
  <c r="S15" i="1" s="1"/>
  <c r="H15" i="1"/>
  <c r="I15" i="1" s="1"/>
  <c r="F580" i="1"/>
  <c r="F591" i="1"/>
  <c r="G68" i="1" l="1"/>
  <c r="F603" i="1" l="1"/>
  <c r="F573" i="1"/>
  <c r="F600" i="1"/>
  <c r="F321" i="1"/>
  <c r="F609" i="1"/>
  <c r="F254" i="1"/>
  <c r="F307" i="1"/>
  <c r="F309" i="1"/>
  <c r="F422" i="1"/>
  <c r="F291" i="1"/>
  <c r="F418" i="1"/>
  <c r="F417" i="1"/>
  <c r="F673" i="1"/>
  <c r="F584" i="1"/>
  <c r="F14" i="1"/>
  <c r="F524" i="1"/>
  <c r="F523" i="1"/>
  <c r="F527" i="1"/>
  <c r="F526" i="1"/>
  <c r="F525" i="1"/>
  <c r="F419" i="1"/>
  <c r="F290" i="1"/>
  <c r="F312" i="1" l="1"/>
  <c r="P312" i="1" s="1"/>
  <c r="Q312" i="1" s="1"/>
  <c r="L312" i="1" l="1"/>
  <c r="M312" i="1" s="1"/>
  <c r="N312" i="1"/>
  <c r="O312" i="1" s="1"/>
  <c r="R312" i="1"/>
  <c r="S312" i="1" s="1"/>
  <c r="G312" i="1"/>
  <c r="H312" i="1"/>
  <c r="I312" i="1" s="1"/>
  <c r="T312" i="1"/>
  <c r="U312" i="1" s="1"/>
  <c r="J312" i="1"/>
  <c r="K312" i="1" s="1"/>
  <c r="V312" i="1"/>
  <c r="W312" i="1" s="1"/>
  <c r="F610" i="1"/>
  <c r="F265" i="1"/>
  <c r="F199" i="1"/>
  <c r="T451" i="1" l="1"/>
  <c r="U451" i="1" s="1"/>
  <c r="R451" i="1"/>
  <c r="S451" i="1" s="1"/>
  <c r="P451" i="1"/>
  <c r="Q451" i="1" s="1"/>
  <c r="N451" i="1"/>
  <c r="O451" i="1" s="1"/>
  <c r="L451" i="1"/>
  <c r="M451" i="1" s="1"/>
  <c r="T450" i="1"/>
  <c r="U450" i="1" s="1"/>
  <c r="R450" i="1"/>
  <c r="S450" i="1" s="1"/>
  <c r="P450" i="1"/>
  <c r="Q450" i="1" s="1"/>
  <c r="N450" i="1"/>
  <c r="O450" i="1" s="1"/>
  <c r="L450" i="1"/>
  <c r="M450" i="1" s="1"/>
  <c r="T449" i="1"/>
  <c r="U449" i="1" s="1"/>
  <c r="R449" i="1"/>
  <c r="S449" i="1" s="1"/>
  <c r="P449" i="1"/>
  <c r="Q449" i="1" s="1"/>
  <c r="N449" i="1"/>
  <c r="O449" i="1" s="1"/>
  <c r="L449" i="1"/>
  <c r="M449" i="1" s="1"/>
  <c r="T448" i="1"/>
  <c r="R448" i="1"/>
  <c r="P448" i="1"/>
  <c r="N448" i="1"/>
  <c r="L448" i="1"/>
  <c r="N220" i="1"/>
  <c r="L220" i="1"/>
  <c r="V63" i="1"/>
  <c r="T63" i="1"/>
  <c r="R63" i="1"/>
  <c r="P63" i="1"/>
  <c r="N63" i="1"/>
  <c r="L63" i="1"/>
  <c r="J63" i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J56" i="1"/>
  <c r="K56" i="1" s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W54" i="1" s="1"/>
  <c r="T54" i="1"/>
  <c r="U54" i="1" s="1"/>
  <c r="R54" i="1"/>
  <c r="S54" i="1" s="1"/>
  <c r="P54" i="1"/>
  <c r="Q54" i="1" s="1"/>
  <c r="N54" i="1"/>
  <c r="O54" i="1" s="1"/>
  <c r="L54" i="1"/>
  <c r="M54" i="1" s="1"/>
  <c r="J54" i="1"/>
  <c r="K54" i="1" s="1"/>
  <c r="V53" i="1"/>
  <c r="T53" i="1"/>
  <c r="R53" i="1"/>
  <c r="N53" i="1"/>
  <c r="L53" i="1"/>
  <c r="J53" i="1"/>
  <c r="P53" i="1"/>
  <c r="V21" i="1"/>
  <c r="W21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V20" i="1"/>
  <c r="W20" i="1" s="1"/>
  <c r="T20" i="1"/>
  <c r="U20" i="1" s="1"/>
  <c r="R20" i="1"/>
  <c r="S20" i="1" s="1"/>
  <c r="P20" i="1"/>
  <c r="Q20" i="1" s="1"/>
  <c r="N20" i="1"/>
  <c r="O20" i="1" s="1"/>
  <c r="L20" i="1"/>
  <c r="M20" i="1" s="1"/>
  <c r="J20" i="1"/>
  <c r="K20" i="1" s="1"/>
  <c r="T13" i="1"/>
  <c r="R13" i="1"/>
  <c r="S13" i="1" s="1"/>
  <c r="P13" i="1"/>
  <c r="Q13" i="1" s="1"/>
  <c r="N13" i="1"/>
  <c r="O13" i="1" s="1"/>
  <c r="L13" i="1"/>
  <c r="M13" i="1" s="1"/>
  <c r="J13" i="1"/>
  <c r="K13" i="1" s="1"/>
  <c r="G150" i="1"/>
  <c r="J150" i="1"/>
  <c r="L150" i="1"/>
  <c r="N150" i="1"/>
  <c r="P150" i="1"/>
  <c r="R150" i="1"/>
  <c r="T150" i="1"/>
  <c r="V150" i="1"/>
  <c r="W113" i="1"/>
  <c r="U113" i="1"/>
  <c r="S113" i="1"/>
  <c r="Q113" i="1"/>
  <c r="O113" i="1"/>
  <c r="W112" i="1"/>
  <c r="U112" i="1"/>
  <c r="S112" i="1"/>
  <c r="Q112" i="1"/>
  <c r="O112" i="1"/>
  <c r="W111" i="1"/>
  <c r="U111" i="1"/>
  <c r="S111" i="1"/>
  <c r="Q111" i="1"/>
  <c r="O111" i="1"/>
  <c r="W110" i="1"/>
  <c r="U110" i="1"/>
  <c r="S110" i="1"/>
  <c r="Q110" i="1"/>
  <c r="O110" i="1"/>
  <c r="W124" i="1"/>
  <c r="U124" i="1"/>
  <c r="S124" i="1"/>
  <c r="Q124" i="1"/>
  <c r="O124" i="1"/>
  <c r="M124" i="1"/>
  <c r="W119" i="1"/>
  <c r="U119" i="1"/>
  <c r="S119" i="1"/>
  <c r="Q119" i="1"/>
  <c r="O119" i="1"/>
  <c r="M119" i="1"/>
  <c r="O107" i="1"/>
  <c r="O106" i="1"/>
  <c r="V628" i="1" l="1"/>
  <c r="W628" i="1" s="1"/>
  <c r="T628" i="1"/>
  <c r="U628" i="1" s="1"/>
  <c r="R628" i="1"/>
  <c r="S628" i="1" s="1"/>
  <c r="P628" i="1"/>
  <c r="Q628" i="1" s="1"/>
  <c r="N628" i="1"/>
  <c r="O628" i="1" s="1"/>
  <c r="L628" i="1"/>
  <c r="M628" i="1" s="1"/>
  <c r="H633" i="1"/>
  <c r="H632" i="1"/>
  <c r="H629" i="1"/>
  <c r="V636" i="1"/>
  <c r="W636" i="1" s="1"/>
  <c r="T636" i="1"/>
  <c r="U636" i="1" s="1"/>
  <c r="R636" i="1"/>
  <c r="S636" i="1" s="1"/>
  <c r="P636" i="1"/>
  <c r="Q636" i="1" s="1"/>
  <c r="N636" i="1"/>
  <c r="O636" i="1" s="1"/>
  <c r="L636" i="1"/>
  <c r="M636" i="1" s="1"/>
  <c r="J636" i="1"/>
  <c r="K636" i="1" s="1"/>
  <c r="V635" i="1"/>
  <c r="W635" i="1" s="1"/>
  <c r="T635" i="1"/>
  <c r="U635" i="1" s="1"/>
  <c r="R635" i="1"/>
  <c r="S635" i="1" s="1"/>
  <c r="P635" i="1"/>
  <c r="Q635" i="1" s="1"/>
  <c r="N635" i="1"/>
  <c r="O635" i="1" s="1"/>
  <c r="L635" i="1"/>
  <c r="M635" i="1" s="1"/>
  <c r="J635" i="1"/>
  <c r="K635" i="1" s="1"/>
  <c r="V634" i="1"/>
  <c r="W634" i="1" s="1"/>
  <c r="T634" i="1"/>
  <c r="U634" i="1" s="1"/>
  <c r="R634" i="1"/>
  <c r="S634" i="1" s="1"/>
  <c r="P634" i="1"/>
  <c r="Q634" i="1" s="1"/>
  <c r="N634" i="1"/>
  <c r="O634" i="1" s="1"/>
  <c r="L634" i="1"/>
  <c r="M634" i="1" s="1"/>
  <c r="J634" i="1"/>
  <c r="K634" i="1" s="1"/>
  <c r="V633" i="1"/>
  <c r="W633" i="1" s="1"/>
  <c r="T633" i="1"/>
  <c r="U633" i="1" s="1"/>
  <c r="R633" i="1"/>
  <c r="S633" i="1" s="1"/>
  <c r="P633" i="1"/>
  <c r="Q633" i="1" s="1"/>
  <c r="N633" i="1"/>
  <c r="O633" i="1" s="1"/>
  <c r="L633" i="1"/>
  <c r="M633" i="1" s="1"/>
  <c r="J633" i="1"/>
  <c r="K633" i="1" s="1"/>
  <c r="V632" i="1"/>
  <c r="W632" i="1" s="1"/>
  <c r="T632" i="1"/>
  <c r="U632" i="1" s="1"/>
  <c r="R632" i="1"/>
  <c r="S632" i="1" s="1"/>
  <c r="P632" i="1"/>
  <c r="Q632" i="1" s="1"/>
  <c r="N632" i="1"/>
  <c r="O632" i="1" s="1"/>
  <c r="L632" i="1"/>
  <c r="M632" i="1" s="1"/>
  <c r="J632" i="1"/>
  <c r="K632" i="1" s="1"/>
  <c r="V631" i="1"/>
  <c r="W631" i="1" s="1"/>
  <c r="T631" i="1"/>
  <c r="U631" i="1" s="1"/>
  <c r="R631" i="1"/>
  <c r="S631" i="1" s="1"/>
  <c r="P631" i="1"/>
  <c r="Q631" i="1" s="1"/>
  <c r="N631" i="1"/>
  <c r="O631" i="1" s="1"/>
  <c r="L631" i="1"/>
  <c r="M631" i="1" s="1"/>
  <c r="J631" i="1"/>
  <c r="K631" i="1" s="1"/>
  <c r="V630" i="1"/>
  <c r="W630" i="1" s="1"/>
  <c r="T630" i="1"/>
  <c r="U630" i="1" s="1"/>
  <c r="R630" i="1"/>
  <c r="S630" i="1" s="1"/>
  <c r="P630" i="1"/>
  <c r="Q630" i="1" s="1"/>
  <c r="N630" i="1"/>
  <c r="O630" i="1" s="1"/>
  <c r="L630" i="1"/>
  <c r="M630" i="1" s="1"/>
  <c r="J630" i="1"/>
  <c r="K630" i="1" s="1"/>
  <c r="V629" i="1"/>
  <c r="W629" i="1" s="1"/>
  <c r="T629" i="1"/>
  <c r="U629" i="1" s="1"/>
  <c r="R629" i="1"/>
  <c r="S629" i="1" s="1"/>
  <c r="P629" i="1"/>
  <c r="Q629" i="1" s="1"/>
  <c r="N629" i="1"/>
  <c r="O629" i="1" s="1"/>
  <c r="L629" i="1"/>
  <c r="M629" i="1" s="1"/>
  <c r="J629" i="1"/>
  <c r="K629" i="1" s="1"/>
  <c r="T627" i="1"/>
  <c r="R627" i="1"/>
  <c r="P627" i="1"/>
  <c r="L627" i="1"/>
  <c r="V627" i="1"/>
  <c r="N627" i="1"/>
  <c r="J627" i="1"/>
  <c r="V467" i="1"/>
  <c r="W467" i="1" s="1"/>
  <c r="T467" i="1"/>
  <c r="U467" i="1" s="1"/>
  <c r="R467" i="1"/>
  <c r="S467" i="1" s="1"/>
  <c r="P467" i="1"/>
  <c r="Q467" i="1" s="1"/>
  <c r="N467" i="1"/>
  <c r="O467" i="1" s="1"/>
  <c r="L467" i="1"/>
  <c r="M467" i="1" s="1"/>
  <c r="V466" i="1"/>
  <c r="W466" i="1" s="1"/>
  <c r="T466" i="1"/>
  <c r="U466" i="1" s="1"/>
  <c r="R466" i="1"/>
  <c r="S466" i="1" s="1"/>
  <c r="P466" i="1"/>
  <c r="Q466" i="1" s="1"/>
  <c r="N466" i="1"/>
  <c r="O466" i="1" s="1"/>
  <c r="L466" i="1"/>
  <c r="M466" i="1" s="1"/>
  <c r="V465" i="1"/>
  <c r="W465" i="1" s="1"/>
  <c r="T465" i="1"/>
  <c r="U465" i="1" s="1"/>
  <c r="R465" i="1"/>
  <c r="S465" i="1" s="1"/>
  <c r="P465" i="1"/>
  <c r="Q465" i="1" s="1"/>
  <c r="N465" i="1"/>
  <c r="O465" i="1" s="1"/>
  <c r="L465" i="1"/>
  <c r="M465" i="1" s="1"/>
  <c r="V464" i="1"/>
  <c r="W464" i="1" s="1"/>
  <c r="T464" i="1"/>
  <c r="U464" i="1" s="1"/>
  <c r="R464" i="1"/>
  <c r="S464" i="1" s="1"/>
  <c r="P464" i="1"/>
  <c r="Q464" i="1" s="1"/>
  <c r="N464" i="1"/>
  <c r="O464" i="1" s="1"/>
  <c r="L464" i="1"/>
  <c r="M464" i="1" s="1"/>
  <c r="L453" i="1"/>
  <c r="J453" i="1"/>
  <c r="N453" i="1"/>
  <c r="P453" i="1"/>
  <c r="R453" i="1"/>
  <c r="T453" i="1"/>
  <c r="V453" i="1"/>
  <c r="V455" i="1"/>
  <c r="W455" i="1" s="1"/>
  <c r="T455" i="1"/>
  <c r="U455" i="1" s="1"/>
  <c r="R455" i="1"/>
  <c r="S455" i="1" s="1"/>
  <c r="P455" i="1"/>
  <c r="Q455" i="1" s="1"/>
  <c r="N455" i="1"/>
  <c r="O455" i="1" s="1"/>
  <c r="L455" i="1"/>
  <c r="M455" i="1" s="1"/>
  <c r="J455" i="1"/>
  <c r="K455" i="1" s="1"/>
  <c r="H696" i="1"/>
  <c r="H695" i="1"/>
  <c r="J696" i="1"/>
  <c r="J695" i="1"/>
  <c r="V696" i="1"/>
  <c r="W696" i="1" s="1"/>
  <c r="T696" i="1"/>
  <c r="U696" i="1" s="1"/>
  <c r="R696" i="1"/>
  <c r="S696" i="1" s="1"/>
  <c r="P696" i="1"/>
  <c r="Q696" i="1" s="1"/>
  <c r="N696" i="1"/>
  <c r="O696" i="1" s="1"/>
  <c r="L696" i="1"/>
  <c r="M696" i="1" s="1"/>
  <c r="V695" i="1"/>
  <c r="W695" i="1" s="1"/>
  <c r="T695" i="1"/>
  <c r="U695" i="1" s="1"/>
  <c r="R695" i="1"/>
  <c r="S695" i="1" s="1"/>
  <c r="P695" i="1"/>
  <c r="Q695" i="1" s="1"/>
  <c r="N695" i="1"/>
  <c r="O695" i="1" s="1"/>
  <c r="L695" i="1"/>
  <c r="M695" i="1" s="1"/>
  <c r="V694" i="1"/>
  <c r="W694" i="1" s="1"/>
  <c r="T694" i="1"/>
  <c r="U694" i="1" s="1"/>
  <c r="R694" i="1"/>
  <c r="S694" i="1" s="1"/>
  <c r="P694" i="1"/>
  <c r="Q694" i="1" s="1"/>
  <c r="N694" i="1"/>
  <c r="O694" i="1" s="1"/>
  <c r="L694" i="1"/>
  <c r="M694" i="1" s="1"/>
  <c r="V692" i="1"/>
  <c r="W692" i="1" s="1"/>
  <c r="T692" i="1"/>
  <c r="U692" i="1" s="1"/>
  <c r="R692" i="1"/>
  <c r="S692" i="1" s="1"/>
  <c r="P692" i="1"/>
  <c r="Q692" i="1" s="1"/>
  <c r="N692" i="1"/>
  <c r="O692" i="1" s="1"/>
  <c r="L692" i="1"/>
  <c r="M692" i="1" s="1"/>
  <c r="V691" i="1"/>
  <c r="W691" i="1" s="1"/>
  <c r="T691" i="1"/>
  <c r="U691" i="1" s="1"/>
  <c r="R691" i="1"/>
  <c r="S691" i="1" s="1"/>
  <c r="P691" i="1"/>
  <c r="Q691" i="1" s="1"/>
  <c r="N691" i="1"/>
  <c r="O691" i="1" s="1"/>
  <c r="L691" i="1"/>
  <c r="M691" i="1" s="1"/>
  <c r="V663" i="1"/>
  <c r="W663" i="1" s="1"/>
  <c r="T663" i="1"/>
  <c r="U663" i="1" s="1"/>
  <c r="R663" i="1"/>
  <c r="S663" i="1" s="1"/>
  <c r="P663" i="1"/>
  <c r="Q663" i="1" s="1"/>
  <c r="V662" i="1"/>
  <c r="W662" i="1" s="1"/>
  <c r="T662" i="1"/>
  <c r="U662" i="1" s="1"/>
  <c r="R662" i="1"/>
  <c r="S662" i="1" s="1"/>
  <c r="P662" i="1"/>
  <c r="Q662" i="1" s="1"/>
  <c r="V661" i="1"/>
  <c r="W661" i="1" s="1"/>
  <c r="T661" i="1"/>
  <c r="U661" i="1" s="1"/>
  <c r="R661" i="1"/>
  <c r="S661" i="1" s="1"/>
  <c r="P661" i="1"/>
  <c r="Q661" i="1" s="1"/>
  <c r="V660" i="1"/>
  <c r="W660" i="1" s="1"/>
  <c r="T660" i="1"/>
  <c r="U660" i="1" s="1"/>
  <c r="R660" i="1"/>
  <c r="S660" i="1" s="1"/>
  <c r="P660" i="1"/>
  <c r="Q660" i="1" s="1"/>
  <c r="V659" i="1"/>
  <c r="W659" i="1" s="1"/>
  <c r="T659" i="1"/>
  <c r="U659" i="1" s="1"/>
  <c r="R659" i="1"/>
  <c r="S659" i="1" s="1"/>
  <c r="P659" i="1"/>
  <c r="Q659" i="1" s="1"/>
  <c r="V658" i="1"/>
  <c r="W658" i="1" s="1"/>
  <c r="T658" i="1"/>
  <c r="U658" i="1" s="1"/>
  <c r="R658" i="1"/>
  <c r="S658" i="1" s="1"/>
  <c r="P658" i="1"/>
  <c r="Q658" i="1" s="1"/>
  <c r="V657" i="1"/>
  <c r="W657" i="1" s="1"/>
  <c r="T657" i="1"/>
  <c r="U657" i="1" s="1"/>
  <c r="R657" i="1"/>
  <c r="S657" i="1" s="1"/>
  <c r="P657" i="1"/>
  <c r="Q657" i="1" s="1"/>
  <c r="V656" i="1"/>
  <c r="W656" i="1" s="1"/>
  <c r="T656" i="1"/>
  <c r="U656" i="1" s="1"/>
  <c r="R656" i="1"/>
  <c r="S656" i="1" s="1"/>
  <c r="P656" i="1"/>
  <c r="Q656" i="1" s="1"/>
  <c r="V682" i="1"/>
  <c r="W682" i="1" s="1"/>
  <c r="T682" i="1"/>
  <c r="U682" i="1" s="1"/>
  <c r="R682" i="1"/>
  <c r="S682" i="1" s="1"/>
  <c r="P682" i="1"/>
  <c r="Q682" i="1" s="1"/>
  <c r="N682" i="1"/>
  <c r="O682" i="1" s="1"/>
  <c r="L682" i="1"/>
  <c r="M682" i="1" s="1"/>
  <c r="J682" i="1"/>
  <c r="K682" i="1" s="1"/>
  <c r="H682" i="1"/>
  <c r="I682" i="1" s="1"/>
  <c r="V681" i="1"/>
  <c r="W681" i="1" s="1"/>
  <c r="T681" i="1"/>
  <c r="U681" i="1" s="1"/>
  <c r="R681" i="1"/>
  <c r="S681" i="1" s="1"/>
  <c r="P681" i="1"/>
  <c r="Q681" i="1" s="1"/>
  <c r="N681" i="1"/>
  <c r="O681" i="1" s="1"/>
  <c r="L681" i="1"/>
  <c r="M681" i="1" s="1"/>
  <c r="J681" i="1"/>
  <c r="K681" i="1" s="1"/>
  <c r="H681" i="1"/>
  <c r="I681" i="1" s="1"/>
  <c r="V679" i="1"/>
  <c r="W679" i="1" s="1"/>
  <c r="T679" i="1"/>
  <c r="U679" i="1" s="1"/>
  <c r="R679" i="1"/>
  <c r="S679" i="1" s="1"/>
  <c r="V678" i="1"/>
  <c r="W678" i="1" s="1"/>
  <c r="T678" i="1"/>
  <c r="U678" i="1" s="1"/>
  <c r="R678" i="1"/>
  <c r="S678" i="1" s="1"/>
  <c r="V677" i="1"/>
  <c r="W677" i="1" s="1"/>
  <c r="T677" i="1"/>
  <c r="U677" i="1" s="1"/>
  <c r="R677" i="1"/>
  <c r="S677" i="1" s="1"/>
  <c r="V676" i="1"/>
  <c r="W676" i="1" s="1"/>
  <c r="T676" i="1"/>
  <c r="U676" i="1" s="1"/>
  <c r="R676" i="1"/>
  <c r="S676" i="1" s="1"/>
  <c r="V675" i="1"/>
  <c r="W675" i="1" s="1"/>
  <c r="T675" i="1"/>
  <c r="U675" i="1" s="1"/>
  <c r="R675" i="1"/>
  <c r="S675" i="1" s="1"/>
  <c r="P675" i="1"/>
  <c r="Q675" i="1" s="1"/>
  <c r="N675" i="1"/>
  <c r="O675" i="1" s="1"/>
  <c r="L675" i="1"/>
  <c r="M675" i="1" s="1"/>
  <c r="V452" i="1" l="1"/>
  <c r="W452" i="1" s="1"/>
  <c r="T452" i="1"/>
  <c r="U452" i="1" s="1"/>
  <c r="R452" i="1"/>
  <c r="S452" i="1" s="1"/>
  <c r="P452" i="1"/>
  <c r="Q452" i="1" s="1"/>
  <c r="N452" i="1"/>
  <c r="O452" i="1" s="1"/>
  <c r="L452" i="1"/>
  <c r="M452" i="1" s="1"/>
  <c r="J452" i="1"/>
  <c r="K452" i="1" s="1"/>
  <c r="F700" i="1"/>
  <c r="T700" i="1" s="1"/>
  <c r="U700" i="1" s="1"/>
  <c r="F701" i="1"/>
  <c r="T701" i="1" s="1"/>
  <c r="U701" i="1" s="1"/>
  <c r="F699" i="1"/>
  <c r="R699" i="1" s="1"/>
  <c r="S699" i="1" s="1"/>
  <c r="T697" i="1"/>
  <c r="U697" i="1" s="1"/>
  <c r="R697" i="1"/>
  <c r="S697" i="1" s="1"/>
  <c r="P697" i="1"/>
  <c r="Q697" i="1" s="1"/>
  <c r="N697" i="1"/>
  <c r="O697" i="1" s="1"/>
  <c r="L697" i="1"/>
  <c r="M697" i="1" s="1"/>
  <c r="J697" i="1"/>
  <c r="K697" i="1" s="1"/>
  <c r="T693" i="1"/>
  <c r="U693" i="1" s="1"/>
  <c r="R693" i="1"/>
  <c r="S693" i="1" s="1"/>
  <c r="P693" i="1"/>
  <c r="Q693" i="1" s="1"/>
  <c r="N693" i="1"/>
  <c r="O693" i="1" s="1"/>
  <c r="L693" i="1"/>
  <c r="M693" i="1" s="1"/>
  <c r="J693" i="1"/>
  <c r="K693" i="1" s="1"/>
  <c r="F587" i="1"/>
  <c r="F586" i="1"/>
  <c r="L699" i="1" l="1"/>
  <c r="M699" i="1" s="1"/>
  <c r="N699" i="1"/>
  <c r="O699" i="1" s="1"/>
  <c r="N701" i="1"/>
  <c r="O701" i="1" s="1"/>
  <c r="P701" i="1"/>
  <c r="Q701" i="1" s="1"/>
  <c r="T699" i="1"/>
  <c r="U699" i="1" s="1"/>
  <c r="N700" i="1"/>
  <c r="O700" i="1" s="1"/>
  <c r="P700" i="1"/>
  <c r="Q700" i="1" s="1"/>
  <c r="J700" i="1"/>
  <c r="K700" i="1" s="1"/>
  <c r="R700" i="1"/>
  <c r="S700" i="1" s="1"/>
  <c r="L700" i="1"/>
  <c r="M700" i="1" s="1"/>
  <c r="J701" i="1"/>
  <c r="K701" i="1" s="1"/>
  <c r="R701" i="1"/>
  <c r="S701" i="1" s="1"/>
  <c r="L701" i="1"/>
  <c r="M701" i="1" s="1"/>
  <c r="P699" i="1"/>
  <c r="Q699" i="1" s="1"/>
  <c r="J699" i="1"/>
  <c r="K699" i="1" s="1"/>
  <c r="L548" i="1" l="1"/>
  <c r="M548" i="1" s="1"/>
  <c r="J548" i="1"/>
  <c r="K548" i="1" s="1"/>
  <c r="H548" i="1"/>
  <c r="I548" i="1" s="1"/>
  <c r="V544" i="1"/>
  <c r="W544" i="1" s="1"/>
  <c r="T544" i="1"/>
  <c r="U544" i="1" s="1"/>
  <c r="R544" i="1"/>
  <c r="S544" i="1" s="1"/>
  <c r="P544" i="1"/>
  <c r="Q544" i="1" s="1"/>
  <c r="N544" i="1"/>
  <c r="O544" i="1" s="1"/>
  <c r="L544" i="1"/>
  <c r="M544" i="1" s="1"/>
  <c r="J544" i="1"/>
  <c r="K544" i="1" s="1"/>
  <c r="H544" i="1"/>
  <c r="I544" i="1" s="1"/>
  <c r="V549" i="1"/>
  <c r="W549" i="1" s="1"/>
  <c r="T549" i="1"/>
  <c r="U549" i="1" s="1"/>
  <c r="R549" i="1"/>
  <c r="S549" i="1" s="1"/>
  <c r="P549" i="1"/>
  <c r="Q549" i="1" s="1"/>
  <c r="N549" i="1"/>
  <c r="O549" i="1" s="1"/>
  <c r="L549" i="1"/>
  <c r="M549" i="1" s="1"/>
  <c r="J549" i="1"/>
  <c r="K549" i="1" s="1"/>
  <c r="H549" i="1"/>
  <c r="I549" i="1" s="1"/>
  <c r="V576" i="1"/>
  <c r="W576" i="1" s="1"/>
  <c r="T576" i="1"/>
  <c r="U576" i="1" s="1"/>
  <c r="R576" i="1"/>
  <c r="S576" i="1" s="1"/>
  <c r="P576" i="1"/>
  <c r="Q576" i="1" s="1"/>
  <c r="N576" i="1"/>
  <c r="O576" i="1" s="1"/>
  <c r="L576" i="1"/>
  <c r="M576" i="1" s="1"/>
  <c r="V579" i="1"/>
  <c r="W579" i="1" s="1"/>
  <c r="T579" i="1"/>
  <c r="U579" i="1" s="1"/>
  <c r="R579" i="1"/>
  <c r="S579" i="1" s="1"/>
  <c r="P579" i="1"/>
  <c r="Q579" i="1" s="1"/>
  <c r="N579" i="1"/>
  <c r="O579" i="1" s="1"/>
  <c r="L579" i="1"/>
  <c r="M579" i="1" s="1"/>
  <c r="H586" i="1"/>
  <c r="I586" i="1" s="1"/>
  <c r="J586" i="1"/>
  <c r="K586" i="1" s="1"/>
  <c r="L586" i="1"/>
  <c r="M586" i="1" s="1"/>
  <c r="N586" i="1"/>
  <c r="O586" i="1" s="1"/>
  <c r="P586" i="1"/>
  <c r="Q586" i="1" s="1"/>
  <c r="R586" i="1"/>
  <c r="S586" i="1" s="1"/>
  <c r="T586" i="1"/>
  <c r="U586" i="1" s="1"/>
  <c r="V586" i="1"/>
  <c r="W586" i="1" s="1"/>
  <c r="H587" i="1"/>
  <c r="I587" i="1" s="1"/>
  <c r="J587" i="1"/>
  <c r="K587" i="1" s="1"/>
  <c r="L587" i="1"/>
  <c r="M587" i="1" s="1"/>
  <c r="N587" i="1"/>
  <c r="O587" i="1" s="1"/>
  <c r="P587" i="1"/>
  <c r="Q587" i="1" s="1"/>
  <c r="R587" i="1"/>
  <c r="S587" i="1" s="1"/>
  <c r="T587" i="1"/>
  <c r="U587" i="1" s="1"/>
  <c r="V587" i="1"/>
  <c r="W587" i="1" s="1"/>
  <c r="L592" i="1"/>
  <c r="M592" i="1" s="1"/>
  <c r="N592" i="1"/>
  <c r="O592" i="1" s="1"/>
  <c r="P592" i="1"/>
  <c r="Q592" i="1" s="1"/>
  <c r="R592" i="1"/>
  <c r="S592" i="1" s="1"/>
  <c r="T592" i="1"/>
  <c r="U592" i="1" s="1"/>
  <c r="V592" i="1"/>
  <c r="W592" i="1" s="1"/>
  <c r="V574" i="1"/>
  <c r="W574" i="1" s="1"/>
  <c r="T574" i="1"/>
  <c r="U574" i="1" s="1"/>
  <c r="R574" i="1"/>
  <c r="S574" i="1" s="1"/>
  <c r="P574" i="1"/>
  <c r="Q574" i="1" s="1"/>
  <c r="N574" i="1"/>
  <c r="O574" i="1" s="1"/>
  <c r="L574" i="1"/>
  <c r="M574" i="1" s="1"/>
  <c r="J574" i="1"/>
  <c r="K574" i="1" s="1"/>
  <c r="H574" i="1"/>
  <c r="I574" i="1" s="1"/>
  <c r="V568" i="1"/>
  <c r="W568" i="1" s="1"/>
  <c r="T568" i="1"/>
  <c r="U568" i="1" s="1"/>
  <c r="R568" i="1"/>
  <c r="S568" i="1" s="1"/>
  <c r="V571" i="1"/>
  <c r="W571" i="1" s="1"/>
  <c r="T571" i="1"/>
  <c r="U571" i="1" s="1"/>
  <c r="R571" i="1"/>
  <c r="S571" i="1" s="1"/>
  <c r="P571" i="1"/>
  <c r="Q571" i="1" s="1"/>
  <c r="N571" i="1"/>
  <c r="O571" i="1" s="1"/>
  <c r="L571" i="1"/>
  <c r="M571" i="1" s="1"/>
  <c r="H507" i="1"/>
  <c r="H506" i="1"/>
  <c r="V512" i="1"/>
  <c r="W512" i="1" s="1"/>
  <c r="T512" i="1"/>
  <c r="U512" i="1" s="1"/>
  <c r="R512" i="1"/>
  <c r="S512" i="1" s="1"/>
  <c r="P512" i="1"/>
  <c r="Q512" i="1" s="1"/>
  <c r="N512" i="1"/>
  <c r="O512" i="1" s="1"/>
  <c r="L512" i="1"/>
  <c r="M512" i="1" s="1"/>
  <c r="J512" i="1"/>
  <c r="K512" i="1" s="1"/>
  <c r="V511" i="1"/>
  <c r="W511" i="1" s="1"/>
  <c r="T511" i="1"/>
  <c r="U511" i="1" s="1"/>
  <c r="R511" i="1"/>
  <c r="S511" i="1" s="1"/>
  <c r="P511" i="1"/>
  <c r="Q511" i="1" s="1"/>
  <c r="N511" i="1"/>
  <c r="O511" i="1" s="1"/>
  <c r="L511" i="1"/>
  <c r="M511" i="1" s="1"/>
  <c r="J511" i="1"/>
  <c r="K511" i="1" s="1"/>
  <c r="V510" i="1"/>
  <c r="W510" i="1" s="1"/>
  <c r="T510" i="1"/>
  <c r="U510" i="1" s="1"/>
  <c r="R510" i="1"/>
  <c r="S510" i="1" s="1"/>
  <c r="P510" i="1"/>
  <c r="Q510" i="1" s="1"/>
  <c r="N510" i="1"/>
  <c r="O510" i="1" s="1"/>
  <c r="L510" i="1"/>
  <c r="M510" i="1" s="1"/>
  <c r="J510" i="1"/>
  <c r="K510" i="1" s="1"/>
  <c r="V507" i="1"/>
  <c r="W507" i="1" s="1"/>
  <c r="T507" i="1"/>
  <c r="U507" i="1" s="1"/>
  <c r="R507" i="1"/>
  <c r="S507" i="1" s="1"/>
  <c r="P507" i="1"/>
  <c r="Q507" i="1" s="1"/>
  <c r="N507" i="1"/>
  <c r="O507" i="1" s="1"/>
  <c r="L507" i="1"/>
  <c r="M507" i="1" s="1"/>
  <c r="J507" i="1"/>
  <c r="K507" i="1" s="1"/>
  <c r="V506" i="1"/>
  <c r="W506" i="1" s="1"/>
  <c r="T506" i="1"/>
  <c r="U506" i="1" s="1"/>
  <c r="R506" i="1"/>
  <c r="S506" i="1" s="1"/>
  <c r="P506" i="1"/>
  <c r="Q506" i="1" s="1"/>
  <c r="N506" i="1"/>
  <c r="O506" i="1" s="1"/>
  <c r="L506" i="1"/>
  <c r="M506" i="1" s="1"/>
  <c r="J506" i="1"/>
  <c r="K506" i="1" s="1"/>
  <c r="J497" i="1"/>
  <c r="V497" i="1"/>
  <c r="W497" i="1" s="1"/>
  <c r="T497" i="1"/>
  <c r="U497" i="1" s="1"/>
  <c r="R497" i="1"/>
  <c r="S497" i="1" s="1"/>
  <c r="P497" i="1"/>
  <c r="Q497" i="1" s="1"/>
  <c r="N497" i="1"/>
  <c r="O497" i="1" s="1"/>
  <c r="L497" i="1"/>
  <c r="M497" i="1" s="1"/>
  <c r="V505" i="1"/>
  <c r="W505" i="1" s="1"/>
  <c r="T505" i="1"/>
  <c r="U505" i="1" s="1"/>
  <c r="R505" i="1"/>
  <c r="S505" i="1" s="1"/>
  <c r="P505" i="1"/>
  <c r="Q505" i="1" s="1"/>
  <c r="N505" i="1"/>
  <c r="O505" i="1" s="1"/>
  <c r="L505" i="1"/>
  <c r="M505" i="1" s="1"/>
  <c r="J505" i="1"/>
  <c r="K505" i="1" s="1"/>
  <c r="H505" i="1"/>
  <c r="I505" i="1" s="1"/>
  <c r="V504" i="1"/>
  <c r="W504" i="1" s="1"/>
  <c r="T504" i="1"/>
  <c r="U504" i="1" s="1"/>
  <c r="R504" i="1"/>
  <c r="S504" i="1" s="1"/>
  <c r="P504" i="1"/>
  <c r="Q504" i="1" s="1"/>
  <c r="N504" i="1"/>
  <c r="O504" i="1" s="1"/>
  <c r="L504" i="1"/>
  <c r="M504" i="1" s="1"/>
  <c r="J504" i="1"/>
  <c r="K504" i="1" s="1"/>
  <c r="H504" i="1"/>
  <c r="I504" i="1" s="1"/>
  <c r="V503" i="1"/>
  <c r="W503" i="1" s="1"/>
  <c r="T503" i="1"/>
  <c r="U503" i="1" s="1"/>
  <c r="R503" i="1"/>
  <c r="S503" i="1" s="1"/>
  <c r="P503" i="1"/>
  <c r="Q503" i="1" s="1"/>
  <c r="N503" i="1"/>
  <c r="O503" i="1" s="1"/>
  <c r="L503" i="1"/>
  <c r="M503" i="1" s="1"/>
  <c r="J503" i="1"/>
  <c r="K503" i="1" s="1"/>
  <c r="H503" i="1"/>
  <c r="I503" i="1" s="1"/>
  <c r="V502" i="1"/>
  <c r="W502" i="1" s="1"/>
  <c r="T502" i="1"/>
  <c r="U502" i="1" s="1"/>
  <c r="R502" i="1"/>
  <c r="S502" i="1" s="1"/>
  <c r="P502" i="1"/>
  <c r="Q502" i="1" s="1"/>
  <c r="N502" i="1"/>
  <c r="O502" i="1" s="1"/>
  <c r="L502" i="1"/>
  <c r="M502" i="1" s="1"/>
  <c r="J502" i="1"/>
  <c r="K502" i="1" s="1"/>
  <c r="H502" i="1"/>
  <c r="I502" i="1" s="1"/>
  <c r="V501" i="1"/>
  <c r="W501" i="1" s="1"/>
  <c r="T501" i="1"/>
  <c r="U501" i="1" s="1"/>
  <c r="R501" i="1"/>
  <c r="S501" i="1" s="1"/>
  <c r="P501" i="1"/>
  <c r="Q501" i="1" s="1"/>
  <c r="N501" i="1"/>
  <c r="O501" i="1" s="1"/>
  <c r="L501" i="1"/>
  <c r="M501" i="1" s="1"/>
  <c r="J501" i="1"/>
  <c r="K501" i="1" s="1"/>
  <c r="H501" i="1"/>
  <c r="I501" i="1" s="1"/>
  <c r="T500" i="1"/>
  <c r="V500" i="1"/>
  <c r="R500" i="1"/>
  <c r="P500" i="1"/>
  <c r="N500" i="1"/>
  <c r="V493" i="1"/>
  <c r="W493" i="1" s="1"/>
  <c r="T493" i="1"/>
  <c r="U493" i="1" s="1"/>
  <c r="R493" i="1"/>
  <c r="S493" i="1" s="1"/>
  <c r="P493" i="1"/>
  <c r="Q493" i="1" s="1"/>
  <c r="N493" i="1"/>
  <c r="O493" i="1" s="1"/>
  <c r="L493" i="1"/>
  <c r="M493" i="1" s="1"/>
  <c r="V494" i="1"/>
  <c r="W494" i="1" s="1"/>
  <c r="T494" i="1"/>
  <c r="U494" i="1" s="1"/>
  <c r="R494" i="1"/>
  <c r="S494" i="1" s="1"/>
  <c r="P494" i="1"/>
  <c r="Q494" i="1" s="1"/>
  <c r="N494" i="1"/>
  <c r="O494" i="1" s="1"/>
  <c r="L494" i="1"/>
  <c r="M494" i="1" s="1"/>
  <c r="V495" i="1"/>
  <c r="W495" i="1" s="1"/>
  <c r="T495" i="1"/>
  <c r="U495" i="1" s="1"/>
  <c r="R495" i="1"/>
  <c r="S495" i="1" s="1"/>
  <c r="P495" i="1"/>
  <c r="Q495" i="1" s="1"/>
  <c r="N495" i="1"/>
  <c r="O495" i="1" s="1"/>
  <c r="L495" i="1"/>
  <c r="M495" i="1" s="1"/>
  <c r="V496" i="1"/>
  <c r="W496" i="1" s="1"/>
  <c r="T496" i="1"/>
  <c r="U496" i="1" s="1"/>
  <c r="R496" i="1"/>
  <c r="S496" i="1" s="1"/>
  <c r="P496" i="1"/>
  <c r="Q496" i="1" s="1"/>
  <c r="N496" i="1"/>
  <c r="O496" i="1" s="1"/>
  <c r="L496" i="1"/>
  <c r="M496" i="1" s="1"/>
  <c r="V498" i="1"/>
  <c r="W498" i="1" s="1"/>
  <c r="T498" i="1"/>
  <c r="U498" i="1" s="1"/>
  <c r="R498" i="1"/>
  <c r="S498" i="1" s="1"/>
  <c r="P498" i="1"/>
  <c r="Q498" i="1" s="1"/>
  <c r="N498" i="1"/>
  <c r="O498" i="1" s="1"/>
  <c r="L498" i="1"/>
  <c r="M498" i="1" s="1"/>
  <c r="H500" i="1"/>
  <c r="J500" i="1"/>
  <c r="L500" i="1"/>
  <c r="V499" i="1"/>
  <c r="N499" i="1"/>
  <c r="L499" i="1"/>
  <c r="P499" i="1"/>
  <c r="R499" i="1"/>
  <c r="T499" i="1"/>
  <c r="V446" i="1" l="1"/>
  <c r="W446" i="1" s="1"/>
  <c r="V447" i="1"/>
  <c r="W447" i="1" s="1"/>
  <c r="T446" i="1"/>
  <c r="R446" i="1"/>
  <c r="P446" i="1"/>
  <c r="N446" i="1"/>
  <c r="T447" i="1"/>
  <c r="R447" i="1"/>
  <c r="P447" i="1"/>
  <c r="N447" i="1"/>
  <c r="L447" i="1"/>
  <c r="J447" i="1"/>
  <c r="H447" i="1"/>
  <c r="N359" i="1"/>
  <c r="O359" i="1" s="1"/>
  <c r="L359" i="1"/>
  <c r="M359" i="1" s="1"/>
  <c r="J359" i="1"/>
  <c r="K359" i="1" s="1"/>
  <c r="H359" i="1"/>
  <c r="I359" i="1" s="1"/>
  <c r="L412" i="1"/>
  <c r="M412" i="1" s="1"/>
  <c r="N412" i="1"/>
  <c r="O412" i="1" s="1"/>
  <c r="P412" i="1"/>
  <c r="Q412" i="1" s="1"/>
  <c r="R412" i="1"/>
  <c r="S412" i="1" s="1"/>
  <c r="T412" i="1"/>
  <c r="U412" i="1" s="1"/>
  <c r="V412" i="1"/>
  <c r="W412" i="1" s="1"/>
  <c r="V382" i="1"/>
  <c r="W382" i="1" s="1"/>
  <c r="T382" i="1"/>
  <c r="U382" i="1" s="1"/>
  <c r="R382" i="1"/>
  <c r="S382" i="1" s="1"/>
  <c r="P382" i="1"/>
  <c r="Q382" i="1" s="1"/>
  <c r="N382" i="1"/>
  <c r="O382" i="1" s="1"/>
  <c r="L382" i="1"/>
  <c r="M382" i="1" s="1"/>
  <c r="V376" i="1"/>
  <c r="W376" i="1" s="1"/>
  <c r="T376" i="1"/>
  <c r="U376" i="1" s="1"/>
  <c r="R376" i="1"/>
  <c r="S376" i="1" s="1"/>
  <c r="P376" i="1"/>
  <c r="Q376" i="1" s="1"/>
  <c r="N376" i="1"/>
  <c r="O376" i="1" s="1"/>
  <c r="L376" i="1"/>
  <c r="M376" i="1" s="1"/>
  <c r="J330" i="1"/>
  <c r="V330" i="1"/>
  <c r="W330" i="1" s="1"/>
  <c r="T330" i="1"/>
  <c r="U330" i="1" s="1"/>
  <c r="R330" i="1"/>
  <c r="S330" i="1" s="1"/>
  <c r="P330" i="1"/>
  <c r="Q330" i="1" s="1"/>
  <c r="N330" i="1"/>
  <c r="O330" i="1" s="1"/>
  <c r="L330" i="1"/>
  <c r="M330" i="1" s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H306" i="1"/>
  <c r="I306" i="1" s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H305" i="1"/>
  <c r="I305" i="1" s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J304" i="1"/>
  <c r="K304" i="1" s="1"/>
  <c r="H304" i="1"/>
  <c r="I304" i="1" s="1"/>
  <c r="V303" i="1"/>
  <c r="W303" i="1" s="1"/>
  <c r="T303" i="1"/>
  <c r="U303" i="1" s="1"/>
  <c r="R303" i="1"/>
  <c r="S303" i="1" s="1"/>
  <c r="P303" i="1"/>
  <c r="Q303" i="1" s="1"/>
  <c r="N303" i="1"/>
  <c r="O303" i="1" s="1"/>
  <c r="L303" i="1"/>
  <c r="M303" i="1" s="1"/>
  <c r="J303" i="1"/>
  <c r="K303" i="1" s="1"/>
  <c r="H303" i="1"/>
  <c r="I303" i="1" s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J302" i="1"/>
  <c r="K302" i="1" s="1"/>
  <c r="H302" i="1"/>
  <c r="I302" i="1" s="1"/>
  <c r="V301" i="1"/>
  <c r="W301" i="1" s="1"/>
  <c r="T301" i="1"/>
  <c r="U301" i="1" s="1"/>
  <c r="R301" i="1"/>
  <c r="S301" i="1" s="1"/>
  <c r="P301" i="1"/>
  <c r="Q301" i="1" s="1"/>
  <c r="N301" i="1"/>
  <c r="O301" i="1" s="1"/>
  <c r="L301" i="1"/>
  <c r="M301" i="1" s="1"/>
  <c r="J301" i="1"/>
  <c r="K301" i="1" s="1"/>
  <c r="H301" i="1"/>
  <c r="I301" i="1" s="1"/>
  <c r="V298" i="1"/>
  <c r="W298" i="1" s="1"/>
  <c r="T298" i="1"/>
  <c r="U298" i="1" s="1"/>
  <c r="R298" i="1"/>
  <c r="S298" i="1" s="1"/>
  <c r="P298" i="1"/>
  <c r="Q298" i="1" s="1"/>
  <c r="N298" i="1"/>
  <c r="O298" i="1" s="1"/>
  <c r="L298" i="1"/>
  <c r="M298" i="1" s="1"/>
  <c r="J298" i="1"/>
  <c r="K298" i="1" s="1"/>
  <c r="H298" i="1"/>
  <c r="I298" i="1" s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J311" i="1"/>
  <c r="K311" i="1" s="1"/>
  <c r="H311" i="1"/>
  <c r="I311" i="1" s="1"/>
  <c r="V323" i="1"/>
  <c r="W323" i="1" s="1"/>
  <c r="T323" i="1"/>
  <c r="U323" i="1" s="1"/>
  <c r="R323" i="1"/>
  <c r="S323" i="1" s="1"/>
  <c r="P323" i="1"/>
  <c r="Q323" i="1" s="1"/>
  <c r="N323" i="1"/>
  <c r="O323" i="1" s="1"/>
  <c r="L323" i="1"/>
  <c r="M323" i="1" s="1"/>
  <c r="J323" i="1"/>
  <c r="K323" i="1" s="1"/>
  <c r="H323" i="1"/>
  <c r="I323" i="1" s="1"/>
  <c r="V324" i="1"/>
  <c r="W324" i="1" s="1"/>
  <c r="T324" i="1"/>
  <c r="U324" i="1" s="1"/>
  <c r="R324" i="1"/>
  <c r="S324" i="1" s="1"/>
  <c r="P324" i="1"/>
  <c r="Q324" i="1" s="1"/>
  <c r="N324" i="1"/>
  <c r="O324" i="1" s="1"/>
  <c r="L324" i="1"/>
  <c r="M324" i="1" s="1"/>
  <c r="J324" i="1"/>
  <c r="K324" i="1" s="1"/>
  <c r="H324" i="1"/>
  <c r="I324" i="1" s="1"/>
  <c r="V325" i="1"/>
  <c r="T325" i="1"/>
  <c r="R325" i="1"/>
  <c r="P325" i="1"/>
  <c r="N325" i="1"/>
  <c r="L325" i="1"/>
  <c r="J325" i="1"/>
  <c r="H325" i="1"/>
  <c r="V295" i="1"/>
  <c r="W295" i="1" s="1"/>
  <c r="T295" i="1"/>
  <c r="U295" i="1" s="1"/>
  <c r="R295" i="1"/>
  <c r="S295" i="1" s="1"/>
  <c r="P295" i="1"/>
  <c r="Q295" i="1" s="1"/>
  <c r="N295" i="1"/>
  <c r="O295" i="1" s="1"/>
  <c r="L295" i="1"/>
  <c r="M295" i="1" s="1"/>
  <c r="V294" i="1"/>
  <c r="W294" i="1" s="1"/>
  <c r="T294" i="1"/>
  <c r="U294" i="1" s="1"/>
  <c r="R294" i="1"/>
  <c r="S294" i="1" s="1"/>
  <c r="P294" i="1"/>
  <c r="Q294" i="1" s="1"/>
  <c r="N294" i="1"/>
  <c r="O294" i="1" s="1"/>
  <c r="L294" i="1"/>
  <c r="M294" i="1" s="1"/>
  <c r="V293" i="1"/>
  <c r="W293" i="1" s="1"/>
  <c r="T293" i="1"/>
  <c r="U293" i="1" s="1"/>
  <c r="R293" i="1"/>
  <c r="S293" i="1" s="1"/>
  <c r="P293" i="1"/>
  <c r="Q293" i="1" s="1"/>
  <c r="N293" i="1"/>
  <c r="O293" i="1" s="1"/>
  <c r="L293" i="1"/>
  <c r="M293" i="1" s="1"/>
  <c r="V288" i="1"/>
  <c r="T288" i="1"/>
  <c r="R288" i="1"/>
  <c r="P288" i="1"/>
  <c r="N288" i="1"/>
  <c r="L288" i="1"/>
  <c r="J288" i="1"/>
  <c r="H246" i="1"/>
  <c r="I246" i="1" s="1"/>
  <c r="J246" i="1"/>
  <c r="K246" i="1" s="1"/>
  <c r="L246" i="1"/>
  <c r="M246" i="1" s="1"/>
  <c r="N246" i="1"/>
  <c r="O246" i="1" s="1"/>
  <c r="P246" i="1"/>
  <c r="Q246" i="1" s="1"/>
  <c r="R246" i="1"/>
  <c r="S246" i="1" s="1"/>
  <c r="T246" i="1"/>
  <c r="U246" i="1" s="1"/>
  <c r="V246" i="1"/>
  <c r="W246" i="1" s="1"/>
  <c r="H249" i="1"/>
  <c r="I249" i="1" s="1"/>
  <c r="J249" i="1"/>
  <c r="K249" i="1" s="1"/>
  <c r="L249" i="1"/>
  <c r="M249" i="1" s="1"/>
  <c r="N249" i="1"/>
  <c r="O249" i="1" s="1"/>
  <c r="P249" i="1"/>
  <c r="Q249" i="1" s="1"/>
  <c r="R249" i="1"/>
  <c r="S249" i="1" s="1"/>
  <c r="T249" i="1"/>
  <c r="U249" i="1" s="1"/>
  <c r="V249" i="1"/>
  <c r="W249" i="1" s="1"/>
  <c r="V490" i="1"/>
  <c r="W490" i="1" s="1"/>
  <c r="T490" i="1"/>
  <c r="U490" i="1" s="1"/>
  <c r="R490" i="1"/>
  <c r="S490" i="1" s="1"/>
  <c r="P490" i="1"/>
  <c r="Q490" i="1" s="1"/>
  <c r="N490" i="1"/>
  <c r="O490" i="1" s="1"/>
  <c r="L490" i="1"/>
  <c r="M490" i="1" s="1"/>
  <c r="J490" i="1"/>
  <c r="K490" i="1" s="1"/>
  <c r="G467" i="1"/>
  <c r="G466" i="1"/>
  <c r="G465" i="1"/>
  <c r="G464" i="1" l="1"/>
  <c r="V189" i="1"/>
  <c r="W189" i="1" s="1"/>
  <c r="T189" i="1"/>
  <c r="U189" i="1" s="1"/>
  <c r="R189" i="1"/>
  <c r="S189" i="1" s="1"/>
  <c r="P189" i="1"/>
  <c r="Q189" i="1" s="1"/>
  <c r="N189" i="1"/>
  <c r="O189" i="1" s="1"/>
  <c r="L189" i="1"/>
  <c r="M189" i="1" s="1"/>
  <c r="J228" i="1"/>
  <c r="N228" i="1"/>
  <c r="L228" i="1"/>
  <c r="L229" i="1"/>
  <c r="N243" i="1"/>
  <c r="L243" i="1"/>
  <c r="J243" i="1"/>
  <c r="P243" i="1"/>
  <c r="R243" i="1"/>
  <c r="T243" i="1"/>
  <c r="V243" i="1"/>
  <c r="H243" i="1"/>
  <c r="W226" i="1"/>
  <c r="U226" i="1"/>
  <c r="S226" i="1"/>
  <c r="Q226" i="1"/>
  <c r="O226" i="1"/>
  <c r="M226" i="1"/>
  <c r="K226" i="1"/>
  <c r="V222" i="1"/>
  <c r="W222" i="1" s="1"/>
  <c r="T222" i="1"/>
  <c r="U222" i="1" s="1"/>
  <c r="R222" i="1"/>
  <c r="S222" i="1" s="1"/>
  <c r="P222" i="1"/>
  <c r="Q222" i="1" s="1"/>
  <c r="N222" i="1"/>
  <c r="O222" i="1" s="1"/>
  <c r="L222" i="1"/>
  <c r="M222" i="1" s="1"/>
  <c r="J222" i="1"/>
  <c r="K222" i="1" s="1"/>
  <c r="V215" i="1"/>
  <c r="W215" i="1" s="1"/>
  <c r="T215" i="1"/>
  <c r="U215" i="1" s="1"/>
  <c r="R215" i="1"/>
  <c r="S215" i="1" s="1"/>
  <c r="P215" i="1"/>
  <c r="Q215" i="1" s="1"/>
  <c r="N215" i="1"/>
  <c r="O215" i="1" s="1"/>
  <c r="V217" i="1"/>
  <c r="W217" i="1" s="1"/>
  <c r="T217" i="1"/>
  <c r="U217" i="1" s="1"/>
  <c r="V216" i="1"/>
  <c r="W216" i="1" s="1"/>
  <c r="T216" i="1"/>
  <c r="U216" i="1" s="1"/>
  <c r="V214" i="1"/>
  <c r="W214" i="1" s="1"/>
  <c r="T214" i="1"/>
  <c r="U214" i="1" s="1"/>
  <c r="R214" i="1"/>
  <c r="S214" i="1" s="1"/>
  <c r="P214" i="1"/>
  <c r="Q214" i="1" s="1"/>
  <c r="N214" i="1"/>
  <c r="O214" i="1" s="1"/>
  <c r="L214" i="1"/>
  <c r="M214" i="1" s="1"/>
  <c r="J214" i="1"/>
  <c r="K214" i="1" s="1"/>
  <c r="V212" i="1"/>
  <c r="W212" i="1" s="1"/>
  <c r="T212" i="1"/>
  <c r="U212" i="1" s="1"/>
  <c r="R212" i="1"/>
  <c r="S212" i="1" s="1"/>
  <c r="P212" i="1"/>
  <c r="Q212" i="1" s="1"/>
  <c r="N212" i="1"/>
  <c r="O212" i="1" s="1"/>
  <c r="L212" i="1"/>
  <c r="M212" i="1" s="1"/>
  <c r="J212" i="1"/>
  <c r="K212" i="1" s="1"/>
  <c r="V195" i="1"/>
  <c r="T195" i="1"/>
  <c r="T191" i="1"/>
  <c r="T192" i="1"/>
  <c r="T193" i="1"/>
  <c r="T194" i="1"/>
  <c r="V191" i="1"/>
  <c r="V192" i="1"/>
  <c r="V193" i="1"/>
  <c r="V194" i="1"/>
  <c r="V190" i="1"/>
  <c r="T190" i="1"/>
  <c r="R195" i="1"/>
  <c r="R191" i="1"/>
  <c r="R192" i="1"/>
  <c r="R193" i="1"/>
  <c r="R194" i="1"/>
  <c r="R190" i="1"/>
  <c r="P195" i="1"/>
  <c r="P191" i="1"/>
  <c r="Q191" i="1" s="1"/>
  <c r="P192" i="1"/>
  <c r="Q192" i="1" s="1"/>
  <c r="P193" i="1"/>
  <c r="Q193" i="1" s="1"/>
  <c r="P194" i="1"/>
  <c r="Q194" i="1" s="1"/>
  <c r="P190" i="1"/>
  <c r="N195" i="1"/>
  <c r="N191" i="1"/>
  <c r="N192" i="1"/>
  <c r="N193" i="1"/>
  <c r="N194" i="1"/>
  <c r="N190" i="1"/>
  <c r="L195" i="1"/>
  <c r="L191" i="1"/>
  <c r="L192" i="1"/>
  <c r="L193" i="1"/>
  <c r="L194" i="1"/>
  <c r="L190" i="1"/>
  <c r="V188" i="1"/>
  <c r="W188" i="1" s="1"/>
  <c r="T188" i="1"/>
  <c r="U188" i="1" s="1"/>
  <c r="R188" i="1"/>
  <c r="S188" i="1" s="1"/>
  <c r="P188" i="1"/>
  <c r="Q188" i="1" s="1"/>
  <c r="N188" i="1"/>
  <c r="O188" i="1" s="1"/>
  <c r="V187" i="1"/>
  <c r="W187" i="1" s="1"/>
  <c r="T187" i="1"/>
  <c r="U187" i="1" s="1"/>
  <c r="R187" i="1"/>
  <c r="S187" i="1" s="1"/>
  <c r="P187" i="1"/>
  <c r="Q187" i="1" s="1"/>
  <c r="N187" i="1"/>
  <c r="O187" i="1" s="1"/>
  <c r="V186" i="1"/>
  <c r="W186" i="1" s="1"/>
  <c r="T186" i="1"/>
  <c r="U186" i="1" s="1"/>
  <c r="R186" i="1"/>
  <c r="S186" i="1" s="1"/>
  <c r="P186" i="1"/>
  <c r="Q186" i="1" s="1"/>
  <c r="N186" i="1"/>
  <c r="O186" i="1" s="1"/>
  <c r="T185" i="1"/>
  <c r="V185" i="1"/>
  <c r="R185" i="1"/>
  <c r="P185" i="1"/>
  <c r="N185" i="1"/>
  <c r="V128" i="1" l="1"/>
  <c r="T128" i="1"/>
  <c r="R128" i="1"/>
  <c r="P128" i="1"/>
  <c r="N128" i="1"/>
  <c r="L128" i="1"/>
  <c r="V162" i="1"/>
  <c r="W162" i="1" s="1"/>
  <c r="T162" i="1"/>
  <c r="U162" i="1" s="1"/>
  <c r="R162" i="1"/>
  <c r="S162" i="1" s="1"/>
  <c r="P162" i="1"/>
  <c r="Q162" i="1" s="1"/>
  <c r="N162" i="1"/>
  <c r="O162" i="1" s="1"/>
  <c r="L162" i="1"/>
  <c r="M162" i="1" s="1"/>
  <c r="J162" i="1"/>
  <c r="K162" i="1" s="1"/>
  <c r="V127" i="1"/>
  <c r="W127" i="1" s="1"/>
  <c r="T127" i="1"/>
  <c r="U127" i="1" s="1"/>
  <c r="R127" i="1"/>
  <c r="S127" i="1" s="1"/>
  <c r="P127" i="1"/>
  <c r="Q127" i="1" s="1"/>
  <c r="N127" i="1"/>
  <c r="O127" i="1" s="1"/>
  <c r="L127" i="1"/>
  <c r="M127" i="1" s="1"/>
  <c r="J127" i="1"/>
  <c r="K127" i="1" s="1"/>
  <c r="V105" i="1"/>
  <c r="W105" i="1" s="1"/>
  <c r="T105" i="1"/>
  <c r="U105" i="1" s="1"/>
  <c r="R105" i="1"/>
  <c r="S105" i="1" s="1"/>
  <c r="P105" i="1"/>
  <c r="Q105" i="1" s="1"/>
  <c r="N105" i="1"/>
  <c r="O105" i="1" s="1"/>
  <c r="L105" i="1"/>
  <c r="M105" i="1" s="1"/>
  <c r="J105" i="1"/>
  <c r="K105" i="1" s="1"/>
  <c r="L95" i="1"/>
  <c r="J95" i="1"/>
  <c r="J98" i="1"/>
  <c r="T97" i="1"/>
  <c r="V97" i="1"/>
  <c r="R97" i="1"/>
  <c r="P97" i="1"/>
  <c r="N97" i="1"/>
  <c r="J97" i="1"/>
  <c r="L97" i="1"/>
  <c r="G329" i="1" l="1"/>
  <c r="F263" i="1" l="1"/>
  <c r="F264" i="1"/>
  <c r="V263" i="1" l="1"/>
  <c r="W263" i="1" s="1"/>
  <c r="J263" i="1"/>
  <c r="K263" i="1" s="1"/>
  <c r="L263" i="1"/>
  <c r="M263" i="1" s="1"/>
  <c r="N263" i="1"/>
  <c r="O263" i="1" s="1"/>
  <c r="P263" i="1"/>
  <c r="Q263" i="1" s="1"/>
  <c r="H263" i="1"/>
  <c r="I263" i="1" s="1"/>
  <c r="R263" i="1"/>
  <c r="S263" i="1" s="1"/>
  <c r="T263" i="1"/>
  <c r="U263" i="1" s="1"/>
  <c r="V264" i="1"/>
  <c r="W264" i="1" s="1"/>
  <c r="H264" i="1"/>
  <c r="I264" i="1" s="1"/>
  <c r="J264" i="1"/>
  <c r="K264" i="1" s="1"/>
  <c r="L264" i="1"/>
  <c r="M264" i="1" s="1"/>
  <c r="N264" i="1"/>
  <c r="O264" i="1" s="1"/>
  <c r="P264" i="1"/>
  <c r="Q264" i="1" s="1"/>
  <c r="R264" i="1"/>
  <c r="S264" i="1" s="1"/>
  <c r="T264" i="1"/>
  <c r="U264" i="1" s="1"/>
  <c r="G264" i="1"/>
  <c r="G263" i="1"/>
  <c r="F613" i="1"/>
  <c r="H609" i="1" l="1"/>
  <c r="I609" i="1" s="1"/>
  <c r="N609" i="1"/>
  <c r="O609" i="1" s="1"/>
  <c r="L609" i="1"/>
  <c r="M609" i="1" s="1"/>
  <c r="T609" i="1"/>
  <c r="U609" i="1" s="1"/>
  <c r="V609" i="1"/>
  <c r="W609" i="1" s="1"/>
  <c r="P609" i="1"/>
  <c r="Q609" i="1" s="1"/>
  <c r="R609" i="1"/>
  <c r="S609" i="1" s="1"/>
  <c r="J609" i="1"/>
  <c r="K609" i="1" s="1"/>
  <c r="H613" i="1"/>
  <c r="I613" i="1" s="1"/>
  <c r="N613" i="1"/>
  <c r="O613" i="1" s="1"/>
  <c r="L613" i="1"/>
  <c r="M613" i="1" s="1"/>
  <c r="T613" i="1"/>
  <c r="U613" i="1" s="1"/>
  <c r="V613" i="1"/>
  <c r="W613" i="1" s="1"/>
  <c r="J613" i="1"/>
  <c r="K613" i="1" s="1"/>
  <c r="P613" i="1"/>
  <c r="Q613" i="1" s="1"/>
  <c r="R613" i="1"/>
  <c r="S613" i="1" s="1"/>
  <c r="N309" i="1"/>
  <c r="O309" i="1" s="1"/>
  <c r="L309" i="1"/>
  <c r="M309" i="1" s="1"/>
  <c r="J309" i="1"/>
  <c r="K309" i="1" s="1"/>
  <c r="H309" i="1"/>
  <c r="I309" i="1" s="1"/>
  <c r="V309" i="1"/>
  <c r="W309" i="1" s="1"/>
  <c r="T309" i="1"/>
  <c r="U309" i="1" s="1"/>
  <c r="R309" i="1"/>
  <c r="S309" i="1" s="1"/>
  <c r="P309" i="1"/>
  <c r="Q309" i="1" s="1"/>
  <c r="F174" i="1"/>
  <c r="F131" i="1"/>
  <c r="N174" i="1" l="1"/>
  <c r="O174" i="1" s="1"/>
  <c r="L174" i="1"/>
  <c r="M174" i="1" s="1"/>
  <c r="J174" i="1"/>
  <c r="K174" i="1" s="1"/>
  <c r="R174" i="1"/>
  <c r="S174" i="1" s="1"/>
  <c r="H174" i="1"/>
  <c r="I174" i="1" s="1"/>
  <c r="P174" i="1"/>
  <c r="Q174" i="1" s="1"/>
  <c r="V174" i="1"/>
  <c r="W174" i="1" s="1"/>
  <c r="T174" i="1"/>
  <c r="U174" i="1" s="1"/>
  <c r="N131" i="1"/>
  <c r="O131" i="1" s="1"/>
  <c r="L131" i="1"/>
  <c r="M131" i="1" s="1"/>
  <c r="J131" i="1"/>
  <c r="V131" i="1"/>
  <c r="W131" i="1" s="1"/>
  <c r="T131" i="1"/>
  <c r="U131" i="1" s="1"/>
  <c r="R131" i="1"/>
  <c r="S131" i="1" s="1"/>
  <c r="P131" i="1"/>
  <c r="Q131" i="1" s="1"/>
  <c r="G174" i="1"/>
  <c r="L28" i="1" l="1"/>
  <c r="N28" i="1"/>
  <c r="P28" i="1"/>
  <c r="R28" i="1"/>
  <c r="T28" i="1"/>
  <c r="H20" i="1"/>
  <c r="I20" i="1" s="1"/>
  <c r="H21" i="1"/>
  <c r="I21" i="1" s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W10" i="1" s="1"/>
  <c r="T10" i="1"/>
  <c r="U10" i="1" s="1"/>
  <c r="R10" i="1"/>
  <c r="S10" i="1" s="1"/>
  <c r="P10" i="1"/>
  <c r="Q10" i="1" s="1"/>
  <c r="N10" i="1"/>
  <c r="O10" i="1" s="1"/>
  <c r="H68" i="1"/>
  <c r="V68" i="1"/>
  <c r="W68" i="1" s="1"/>
  <c r="T68" i="1"/>
  <c r="U68" i="1" s="1"/>
  <c r="R68" i="1"/>
  <c r="S68" i="1" s="1"/>
  <c r="P68" i="1"/>
  <c r="Q68" i="1" s="1"/>
  <c r="N68" i="1"/>
  <c r="O68" i="1" s="1"/>
  <c r="L68" i="1"/>
  <c r="M68" i="1" s="1"/>
  <c r="J68" i="1"/>
  <c r="K68" i="1" s="1"/>
  <c r="V65" i="1"/>
  <c r="W65" i="1" s="1"/>
  <c r="T65" i="1"/>
  <c r="U65" i="1" s="1"/>
  <c r="R65" i="1"/>
  <c r="S65" i="1" s="1"/>
  <c r="P65" i="1"/>
  <c r="Q65" i="1" s="1"/>
  <c r="N65" i="1"/>
  <c r="O65" i="1" s="1"/>
  <c r="V64" i="1"/>
  <c r="W64" i="1" s="1"/>
  <c r="T64" i="1"/>
  <c r="U64" i="1" s="1"/>
  <c r="R64" i="1"/>
  <c r="S64" i="1" s="1"/>
  <c r="P64" i="1"/>
  <c r="Q64" i="1" s="1"/>
  <c r="N64" i="1"/>
  <c r="O64" i="1" s="1"/>
  <c r="V58" i="1"/>
  <c r="W58" i="1" s="1"/>
  <c r="T58" i="1"/>
  <c r="U58" i="1" s="1"/>
  <c r="R58" i="1"/>
  <c r="S58" i="1" s="1"/>
  <c r="P58" i="1"/>
  <c r="Q58" i="1" s="1"/>
  <c r="N58" i="1"/>
  <c r="O58" i="1" s="1"/>
  <c r="L58" i="1"/>
  <c r="M58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V148" i="1"/>
  <c r="W148" i="1" s="1"/>
  <c r="T148" i="1"/>
  <c r="U148" i="1" s="1"/>
  <c r="R148" i="1"/>
  <c r="S148" i="1" s="1"/>
  <c r="P148" i="1"/>
  <c r="Q148" i="1" s="1"/>
  <c r="N148" i="1"/>
  <c r="O148" i="1" s="1"/>
  <c r="L148" i="1"/>
  <c r="M148" i="1" s="1"/>
  <c r="J148" i="1"/>
  <c r="K148" i="1" s="1"/>
  <c r="V147" i="1"/>
  <c r="W147" i="1" s="1"/>
  <c r="T147" i="1"/>
  <c r="U147" i="1" s="1"/>
  <c r="R147" i="1"/>
  <c r="S147" i="1" s="1"/>
  <c r="P147" i="1"/>
  <c r="Q147" i="1" s="1"/>
  <c r="N147" i="1"/>
  <c r="O147" i="1" s="1"/>
  <c r="L147" i="1"/>
  <c r="M147" i="1" s="1"/>
  <c r="J147" i="1"/>
  <c r="K147" i="1" s="1"/>
  <c r="V144" i="1"/>
  <c r="T144" i="1"/>
  <c r="F514" i="1" l="1"/>
  <c r="F513" i="1"/>
  <c r="T513" i="1" l="1"/>
  <c r="U513" i="1" s="1"/>
  <c r="L513" i="1"/>
  <c r="M513" i="1" s="1"/>
  <c r="R513" i="1"/>
  <c r="S513" i="1" s="1"/>
  <c r="J513" i="1"/>
  <c r="K513" i="1" s="1"/>
  <c r="P513" i="1"/>
  <c r="Q513" i="1" s="1"/>
  <c r="N513" i="1"/>
  <c r="O513" i="1" s="1"/>
  <c r="H513" i="1"/>
  <c r="I513" i="1" s="1"/>
  <c r="V513" i="1"/>
  <c r="W513" i="1" s="1"/>
  <c r="V514" i="1"/>
  <c r="W514" i="1" s="1"/>
  <c r="P514" i="1"/>
  <c r="Q514" i="1" s="1"/>
  <c r="T514" i="1"/>
  <c r="U514" i="1" s="1"/>
  <c r="J514" i="1"/>
  <c r="K514" i="1" s="1"/>
  <c r="N514" i="1"/>
  <c r="O514" i="1" s="1"/>
  <c r="R514" i="1"/>
  <c r="S514" i="1" s="1"/>
  <c r="L514" i="1"/>
  <c r="M514" i="1" s="1"/>
  <c r="H514" i="1"/>
  <c r="I514" i="1" s="1"/>
  <c r="G514" i="1"/>
  <c r="G513" i="1"/>
  <c r="R144" i="1"/>
  <c r="P144" i="1"/>
  <c r="N144" i="1"/>
  <c r="L144" i="1"/>
  <c r="V143" i="1"/>
  <c r="T143" i="1"/>
  <c r="R143" i="1"/>
  <c r="P143" i="1"/>
  <c r="N143" i="1"/>
  <c r="L143" i="1"/>
  <c r="J143" i="1"/>
  <c r="J144" i="1"/>
  <c r="V57" i="1"/>
  <c r="T57" i="1"/>
  <c r="R57" i="1"/>
  <c r="P57" i="1"/>
  <c r="N57" i="1"/>
  <c r="L57" i="1"/>
  <c r="J57" i="1"/>
  <c r="G657" i="1" l="1"/>
  <c r="G656" i="1"/>
  <c r="G658" i="1"/>
  <c r="G659" i="1"/>
  <c r="G660" i="1"/>
  <c r="G661" i="1"/>
  <c r="G662" i="1"/>
  <c r="G663" i="1"/>
  <c r="F444" i="1" l="1"/>
  <c r="T444" i="1" l="1"/>
  <c r="U444" i="1" s="1"/>
  <c r="J444" i="1"/>
  <c r="K444" i="1" s="1"/>
  <c r="N444" i="1"/>
  <c r="O444" i="1" s="1"/>
  <c r="H444" i="1"/>
  <c r="I444" i="1" s="1"/>
  <c r="R444" i="1"/>
  <c r="S444" i="1" s="1"/>
  <c r="L444" i="1"/>
  <c r="M444" i="1" s="1"/>
  <c r="V444" i="1"/>
  <c r="W444" i="1" s="1"/>
  <c r="P444" i="1"/>
  <c r="Q444" i="1" s="1"/>
  <c r="G444" i="1"/>
  <c r="F621" i="1"/>
  <c r="L621" i="1" l="1"/>
  <c r="M621" i="1" s="1"/>
  <c r="R621" i="1"/>
  <c r="S621" i="1" s="1"/>
  <c r="H621" i="1"/>
  <c r="I621" i="1" s="1"/>
  <c r="N621" i="1"/>
  <c r="O621" i="1" s="1"/>
  <c r="J621" i="1"/>
  <c r="K621" i="1" s="1"/>
  <c r="P621" i="1"/>
  <c r="Q621" i="1" s="1"/>
  <c r="T621" i="1"/>
  <c r="U621" i="1" s="1"/>
  <c r="V621" i="1"/>
  <c r="W621" i="1" s="1"/>
  <c r="G621" i="1"/>
  <c r="F369" i="1"/>
  <c r="F445" i="1"/>
  <c r="F443" i="1"/>
  <c r="F440" i="1"/>
  <c r="R445" i="1" l="1"/>
  <c r="S445" i="1" s="1"/>
  <c r="L445" i="1"/>
  <c r="M445" i="1" s="1"/>
  <c r="V445" i="1"/>
  <c r="W445" i="1" s="1"/>
  <c r="J445" i="1"/>
  <c r="K445" i="1" s="1"/>
  <c r="T445" i="1"/>
  <c r="U445" i="1" s="1"/>
  <c r="P445" i="1"/>
  <c r="Q445" i="1" s="1"/>
  <c r="N445" i="1"/>
  <c r="O445" i="1" s="1"/>
  <c r="L443" i="1"/>
  <c r="M443" i="1" s="1"/>
  <c r="H443" i="1"/>
  <c r="I443" i="1" s="1"/>
  <c r="R443" i="1"/>
  <c r="S443" i="1" s="1"/>
  <c r="J443" i="1"/>
  <c r="K443" i="1" s="1"/>
  <c r="V443" i="1"/>
  <c r="W443" i="1" s="1"/>
  <c r="P443" i="1"/>
  <c r="Q443" i="1" s="1"/>
  <c r="T443" i="1"/>
  <c r="U443" i="1" s="1"/>
  <c r="N443" i="1"/>
  <c r="O443" i="1" s="1"/>
  <c r="T440" i="1"/>
  <c r="U440" i="1" s="1"/>
  <c r="N440" i="1"/>
  <c r="O440" i="1" s="1"/>
  <c r="H440" i="1"/>
  <c r="I440" i="1" s="1"/>
  <c r="L440" i="1"/>
  <c r="M440" i="1" s="1"/>
  <c r="R440" i="1"/>
  <c r="S440" i="1" s="1"/>
  <c r="V440" i="1"/>
  <c r="W440" i="1" s="1"/>
  <c r="P440" i="1"/>
  <c r="Q440" i="1" s="1"/>
  <c r="J440" i="1"/>
  <c r="K440" i="1" s="1"/>
  <c r="L369" i="1"/>
  <c r="M369" i="1" s="1"/>
  <c r="V369" i="1"/>
  <c r="W369" i="1" s="1"/>
  <c r="T369" i="1"/>
  <c r="U369" i="1" s="1"/>
  <c r="R369" i="1"/>
  <c r="S369" i="1" s="1"/>
  <c r="P369" i="1"/>
  <c r="Q369" i="1" s="1"/>
  <c r="N369" i="1"/>
  <c r="O369" i="1" s="1"/>
  <c r="G369" i="1"/>
  <c r="G443" i="1"/>
  <c r="G440" i="1"/>
  <c r="F242" i="1" l="1"/>
  <c r="F373" i="1"/>
  <c r="P373" i="1" l="1"/>
  <c r="Q373" i="1" s="1"/>
  <c r="N373" i="1"/>
  <c r="O373" i="1" s="1"/>
  <c r="L373" i="1"/>
  <c r="M373" i="1" s="1"/>
  <c r="V373" i="1"/>
  <c r="W373" i="1" s="1"/>
  <c r="T373" i="1"/>
  <c r="U373" i="1" s="1"/>
  <c r="R373" i="1"/>
  <c r="S373" i="1" s="1"/>
  <c r="R242" i="1"/>
  <c r="S242" i="1" s="1"/>
  <c r="V242" i="1"/>
  <c r="W242" i="1" s="1"/>
  <c r="T242" i="1"/>
  <c r="U242" i="1" s="1"/>
  <c r="P242" i="1"/>
  <c r="Q242" i="1" s="1"/>
  <c r="N242" i="1"/>
  <c r="O242" i="1" s="1"/>
  <c r="L242" i="1"/>
  <c r="M242" i="1" s="1"/>
  <c r="J242" i="1"/>
  <c r="K242" i="1" s="1"/>
  <c r="H242" i="1"/>
  <c r="I242" i="1" s="1"/>
  <c r="F620" i="1"/>
  <c r="L620" i="1" l="1"/>
  <c r="M620" i="1" s="1"/>
  <c r="R620" i="1"/>
  <c r="S620" i="1" s="1"/>
  <c r="H620" i="1"/>
  <c r="I620" i="1" s="1"/>
  <c r="N620" i="1"/>
  <c r="O620" i="1" s="1"/>
  <c r="J620" i="1"/>
  <c r="K620" i="1" s="1"/>
  <c r="T620" i="1"/>
  <c r="U620" i="1" s="1"/>
  <c r="V620" i="1"/>
  <c r="W620" i="1" s="1"/>
  <c r="P620" i="1"/>
  <c r="Q620" i="1" s="1"/>
  <c r="G620" i="1"/>
  <c r="N353" i="1" l="1"/>
  <c r="O353" i="1" s="1"/>
  <c r="P353" i="1"/>
  <c r="Q353" i="1" s="1"/>
  <c r="R353" i="1"/>
  <c r="S353" i="1" s="1"/>
  <c r="T353" i="1"/>
  <c r="U353" i="1" s="1"/>
  <c r="V353" i="1"/>
  <c r="W353" i="1" s="1"/>
  <c r="L353" i="1"/>
  <c r="M353" i="1" s="1"/>
  <c r="F103" i="1"/>
  <c r="R103" i="1" l="1"/>
  <c r="S103" i="1" s="1"/>
  <c r="P103" i="1"/>
  <c r="Q103" i="1" s="1"/>
  <c r="N103" i="1"/>
  <c r="O103" i="1" s="1"/>
  <c r="L103" i="1"/>
  <c r="M103" i="1" s="1"/>
  <c r="J103" i="1"/>
  <c r="K103" i="1" s="1"/>
  <c r="V103" i="1"/>
  <c r="W103" i="1" s="1"/>
  <c r="T103" i="1"/>
  <c r="U103" i="1" s="1"/>
  <c r="G103" i="1"/>
  <c r="F177" i="1"/>
  <c r="F178" i="1"/>
  <c r="G178" i="1" l="1"/>
  <c r="T178" i="1"/>
  <c r="U178" i="1" s="1"/>
  <c r="R178" i="1"/>
  <c r="S178" i="1" s="1"/>
  <c r="P178" i="1"/>
  <c r="Q178" i="1" s="1"/>
  <c r="N178" i="1"/>
  <c r="O178" i="1" s="1"/>
  <c r="L178" i="1"/>
  <c r="M178" i="1" s="1"/>
  <c r="J178" i="1"/>
  <c r="K178" i="1" s="1"/>
  <c r="H178" i="1"/>
  <c r="I178" i="1" s="1"/>
  <c r="V178" i="1"/>
  <c r="W178" i="1" s="1"/>
  <c r="R177" i="1"/>
  <c r="S177" i="1" s="1"/>
  <c r="P177" i="1"/>
  <c r="Q177" i="1" s="1"/>
  <c r="N177" i="1"/>
  <c r="O177" i="1" s="1"/>
  <c r="L177" i="1"/>
  <c r="M177" i="1" s="1"/>
  <c r="J177" i="1"/>
  <c r="K177" i="1" s="1"/>
  <c r="H177" i="1"/>
  <c r="I177" i="1" s="1"/>
  <c r="T177" i="1"/>
  <c r="U177" i="1" s="1"/>
  <c r="V177" i="1"/>
  <c r="W177" i="1" s="1"/>
  <c r="F171" i="1"/>
  <c r="R171" i="1" l="1"/>
  <c r="S171" i="1" s="1"/>
  <c r="P171" i="1"/>
  <c r="Q171" i="1" s="1"/>
  <c r="N171" i="1"/>
  <c r="O171" i="1" s="1"/>
  <c r="L171" i="1"/>
  <c r="M171" i="1" s="1"/>
  <c r="T171" i="1"/>
  <c r="U171" i="1" s="1"/>
  <c r="J171" i="1"/>
  <c r="K171" i="1" s="1"/>
  <c r="H171" i="1"/>
  <c r="I171" i="1" s="1"/>
  <c r="V171" i="1"/>
  <c r="W171" i="1" s="1"/>
  <c r="G171" i="1"/>
  <c r="F172" i="1"/>
  <c r="V172" i="1" l="1"/>
  <c r="W172" i="1" s="1"/>
  <c r="T172" i="1"/>
  <c r="U172" i="1" s="1"/>
  <c r="R172" i="1"/>
  <c r="S172" i="1" s="1"/>
  <c r="P172" i="1"/>
  <c r="Q172" i="1" s="1"/>
  <c r="N172" i="1"/>
  <c r="O172" i="1" s="1"/>
  <c r="L172" i="1"/>
  <c r="M172" i="1" s="1"/>
  <c r="J172" i="1"/>
  <c r="K172" i="1" s="1"/>
  <c r="H172" i="1"/>
  <c r="I172" i="1" s="1"/>
  <c r="G177" i="1"/>
  <c r="G172" i="1"/>
  <c r="F563" i="1"/>
  <c r="F227" i="1"/>
  <c r="P563" i="1" l="1"/>
  <c r="Q563" i="1" s="1"/>
  <c r="T563" i="1"/>
  <c r="U563" i="1" s="1"/>
  <c r="N563" i="1"/>
  <c r="O563" i="1" s="1"/>
  <c r="V563" i="1"/>
  <c r="W563" i="1" s="1"/>
  <c r="L563" i="1"/>
  <c r="M563" i="1" s="1"/>
  <c r="R563" i="1"/>
  <c r="S563" i="1" s="1"/>
  <c r="R227" i="1"/>
  <c r="P227" i="1"/>
  <c r="N227" i="1"/>
  <c r="L227" i="1"/>
  <c r="J227" i="1"/>
  <c r="H227" i="1"/>
  <c r="V227" i="1"/>
  <c r="T227" i="1"/>
  <c r="G563" i="1"/>
  <c r="F565" i="1" l="1"/>
  <c r="T565" i="1" l="1"/>
  <c r="U565" i="1" s="1"/>
  <c r="L565" i="1"/>
  <c r="M565" i="1" s="1"/>
  <c r="R565" i="1"/>
  <c r="S565" i="1" s="1"/>
  <c r="N565" i="1"/>
  <c r="O565" i="1" s="1"/>
  <c r="V565" i="1"/>
  <c r="W565" i="1" s="1"/>
  <c r="P565" i="1"/>
  <c r="Q565" i="1" s="1"/>
  <c r="F425" i="1"/>
  <c r="T425" i="1" l="1"/>
  <c r="U425" i="1" s="1"/>
  <c r="N425" i="1"/>
  <c r="O425" i="1" s="1"/>
  <c r="J425" i="1"/>
  <c r="K425" i="1" s="1"/>
  <c r="V425" i="1"/>
  <c r="W425" i="1" s="1"/>
  <c r="H425" i="1"/>
  <c r="I425" i="1" s="1"/>
  <c r="L425" i="1"/>
  <c r="M425" i="1" s="1"/>
  <c r="R425" i="1"/>
  <c r="S425" i="1" s="1"/>
  <c r="P425" i="1"/>
  <c r="Q425" i="1" s="1"/>
  <c r="L415" i="1"/>
  <c r="M415" i="1" s="1"/>
  <c r="N415" i="1"/>
  <c r="O415" i="1" s="1"/>
  <c r="P415" i="1"/>
  <c r="Q415" i="1" s="1"/>
  <c r="R415" i="1"/>
  <c r="S415" i="1" s="1"/>
  <c r="T415" i="1"/>
  <c r="U415" i="1" s="1"/>
  <c r="V415" i="1"/>
  <c r="W415" i="1" s="1"/>
  <c r="H603" i="1" l="1"/>
  <c r="I603" i="1" s="1"/>
  <c r="L603" i="1"/>
  <c r="M603" i="1" s="1"/>
  <c r="P603" i="1"/>
  <c r="Q603" i="1" s="1"/>
  <c r="T603" i="1"/>
  <c r="U603" i="1" s="1"/>
  <c r="J603" i="1"/>
  <c r="K603" i="1" s="1"/>
  <c r="V603" i="1"/>
  <c r="W603" i="1" s="1"/>
  <c r="N603" i="1"/>
  <c r="O603" i="1" s="1"/>
  <c r="R603" i="1"/>
  <c r="S603" i="1" s="1"/>
  <c r="G603" i="1"/>
  <c r="F569" i="1" l="1"/>
  <c r="F439" i="1"/>
  <c r="F438" i="1"/>
  <c r="F201" i="1"/>
  <c r="V438" i="1" l="1"/>
  <c r="W438" i="1" s="1"/>
  <c r="P438" i="1"/>
  <c r="Q438" i="1" s="1"/>
  <c r="H438" i="1"/>
  <c r="I438" i="1" s="1"/>
  <c r="L438" i="1"/>
  <c r="M438" i="1" s="1"/>
  <c r="R438" i="1"/>
  <c r="S438" i="1" s="1"/>
  <c r="T438" i="1"/>
  <c r="U438" i="1" s="1"/>
  <c r="N438" i="1"/>
  <c r="O438" i="1" s="1"/>
  <c r="J438" i="1"/>
  <c r="K438" i="1" s="1"/>
  <c r="V439" i="1"/>
  <c r="W439" i="1" s="1"/>
  <c r="N439" i="1"/>
  <c r="O439" i="1" s="1"/>
  <c r="J439" i="1"/>
  <c r="K439" i="1" s="1"/>
  <c r="P439" i="1"/>
  <c r="Q439" i="1" s="1"/>
  <c r="T439" i="1"/>
  <c r="U439" i="1" s="1"/>
  <c r="L439" i="1"/>
  <c r="M439" i="1" s="1"/>
  <c r="R439" i="1"/>
  <c r="S439" i="1" s="1"/>
  <c r="H439" i="1"/>
  <c r="I439" i="1" s="1"/>
  <c r="R569" i="1"/>
  <c r="S569" i="1" s="1"/>
  <c r="V569" i="1"/>
  <c r="W569" i="1" s="1"/>
  <c r="P569" i="1"/>
  <c r="Q569" i="1" s="1"/>
  <c r="N569" i="1"/>
  <c r="O569" i="1" s="1"/>
  <c r="T569" i="1"/>
  <c r="U569" i="1" s="1"/>
  <c r="V201" i="1"/>
  <c r="W201" i="1" s="1"/>
  <c r="T201" i="1"/>
  <c r="U201" i="1" s="1"/>
  <c r="R201" i="1"/>
  <c r="S201" i="1" s="1"/>
  <c r="P201" i="1"/>
  <c r="Q201" i="1" s="1"/>
  <c r="N201" i="1"/>
  <c r="O201" i="1" s="1"/>
  <c r="L201" i="1"/>
  <c r="M201" i="1" s="1"/>
  <c r="J201" i="1"/>
  <c r="K201" i="1" s="1"/>
  <c r="H201" i="1"/>
  <c r="I201" i="1" s="1"/>
  <c r="G568" i="1"/>
  <c r="G439" i="1"/>
  <c r="G438" i="1"/>
  <c r="G201" i="1"/>
  <c r="F200" i="1"/>
  <c r="F272" i="1"/>
  <c r="F169" i="1"/>
  <c r="F170" i="1"/>
  <c r="L272" i="1" l="1"/>
  <c r="M272" i="1" s="1"/>
  <c r="N272" i="1"/>
  <c r="O272" i="1" s="1"/>
  <c r="P272" i="1"/>
  <c r="Q272" i="1" s="1"/>
  <c r="R272" i="1"/>
  <c r="S272" i="1" s="1"/>
  <c r="T272" i="1"/>
  <c r="U272" i="1" s="1"/>
  <c r="J272" i="1"/>
  <c r="K272" i="1" s="1"/>
  <c r="H272" i="1"/>
  <c r="I272" i="1" s="1"/>
  <c r="V272" i="1"/>
  <c r="W272" i="1" s="1"/>
  <c r="L170" i="1"/>
  <c r="M170" i="1" s="1"/>
  <c r="J170" i="1"/>
  <c r="K170" i="1" s="1"/>
  <c r="H170" i="1"/>
  <c r="I170" i="1" s="1"/>
  <c r="V170" i="1"/>
  <c r="W170" i="1" s="1"/>
  <c r="P170" i="1"/>
  <c r="Q170" i="1" s="1"/>
  <c r="T170" i="1"/>
  <c r="U170" i="1" s="1"/>
  <c r="R170" i="1"/>
  <c r="S170" i="1" s="1"/>
  <c r="N170" i="1"/>
  <c r="O170" i="1" s="1"/>
  <c r="N200" i="1"/>
  <c r="O200" i="1" s="1"/>
  <c r="V200" i="1"/>
  <c r="W200" i="1" s="1"/>
  <c r="T200" i="1"/>
  <c r="U200" i="1" s="1"/>
  <c r="R200" i="1"/>
  <c r="S200" i="1" s="1"/>
  <c r="P200" i="1"/>
  <c r="Q200" i="1" s="1"/>
  <c r="H200" i="1"/>
  <c r="I200" i="1" s="1"/>
  <c r="L200" i="1"/>
  <c r="M200" i="1" s="1"/>
  <c r="J200" i="1"/>
  <c r="K200" i="1" s="1"/>
  <c r="N169" i="1"/>
  <c r="O169" i="1" s="1"/>
  <c r="L169" i="1"/>
  <c r="M169" i="1" s="1"/>
  <c r="J169" i="1"/>
  <c r="K169" i="1" s="1"/>
  <c r="H169" i="1"/>
  <c r="I169" i="1" s="1"/>
  <c r="R169" i="1"/>
  <c r="S169" i="1" s="1"/>
  <c r="P169" i="1"/>
  <c r="Q169" i="1" s="1"/>
  <c r="V169" i="1"/>
  <c r="W169" i="1" s="1"/>
  <c r="T169" i="1"/>
  <c r="U169" i="1" s="1"/>
  <c r="G200" i="1"/>
  <c r="G272" i="1"/>
  <c r="G169" i="1"/>
  <c r="F683" i="1"/>
  <c r="F670" i="1"/>
  <c r="F687" i="1"/>
  <c r="F244" i="1"/>
  <c r="F245" i="1"/>
  <c r="F262" i="1"/>
  <c r="T683" i="1" l="1"/>
  <c r="L683" i="1"/>
  <c r="M683" i="1" s="1"/>
  <c r="R683" i="1"/>
  <c r="J683" i="1"/>
  <c r="K683" i="1" s="1"/>
  <c r="P683" i="1"/>
  <c r="Q683" i="1" s="1"/>
  <c r="V683" i="1"/>
  <c r="W683" i="1" s="1"/>
  <c r="N683" i="1"/>
  <c r="O683" i="1" s="1"/>
  <c r="T687" i="1"/>
  <c r="U687" i="1" s="1"/>
  <c r="J687" i="1"/>
  <c r="K687" i="1" s="1"/>
  <c r="N687" i="1"/>
  <c r="O687" i="1" s="1"/>
  <c r="H687" i="1"/>
  <c r="I687" i="1" s="1"/>
  <c r="P687" i="1"/>
  <c r="Q687" i="1" s="1"/>
  <c r="R687" i="1"/>
  <c r="S687" i="1" s="1"/>
  <c r="L687" i="1"/>
  <c r="M687" i="1" s="1"/>
  <c r="V687" i="1"/>
  <c r="W687" i="1" s="1"/>
  <c r="V670" i="1"/>
  <c r="W670" i="1" s="1"/>
  <c r="J670" i="1"/>
  <c r="K670" i="1" s="1"/>
  <c r="T670" i="1"/>
  <c r="U670" i="1" s="1"/>
  <c r="L670" i="1"/>
  <c r="M670" i="1" s="1"/>
  <c r="P670" i="1"/>
  <c r="Q670" i="1" s="1"/>
  <c r="R670" i="1"/>
  <c r="S670" i="1" s="1"/>
  <c r="N670" i="1"/>
  <c r="O670" i="1" s="1"/>
  <c r="V244" i="1"/>
  <c r="W244" i="1" s="1"/>
  <c r="T244" i="1"/>
  <c r="U244" i="1" s="1"/>
  <c r="R244" i="1"/>
  <c r="S244" i="1" s="1"/>
  <c r="P244" i="1"/>
  <c r="Q244" i="1" s="1"/>
  <c r="N244" i="1"/>
  <c r="O244" i="1" s="1"/>
  <c r="L244" i="1"/>
  <c r="M244" i="1" s="1"/>
  <c r="J244" i="1"/>
  <c r="K244" i="1" s="1"/>
  <c r="H244" i="1"/>
  <c r="I244" i="1" s="1"/>
  <c r="R262" i="1"/>
  <c r="S262" i="1" s="1"/>
  <c r="V262" i="1"/>
  <c r="W262" i="1" s="1"/>
  <c r="H262" i="1"/>
  <c r="I262" i="1" s="1"/>
  <c r="J262" i="1"/>
  <c r="K262" i="1" s="1"/>
  <c r="L262" i="1"/>
  <c r="M262" i="1" s="1"/>
  <c r="N262" i="1"/>
  <c r="O262" i="1" s="1"/>
  <c r="T262" i="1"/>
  <c r="U262" i="1" s="1"/>
  <c r="P262" i="1"/>
  <c r="Q262" i="1" s="1"/>
  <c r="V245" i="1"/>
  <c r="W245" i="1" s="1"/>
  <c r="T245" i="1"/>
  <c r="U245" i="1" s="1"/>
  <c r="R245" i="1"/>
  <c r="S245" i="1" s="1"/>
  <c r="P245" i="1"/>
  <c r="Q245" i="1" s="1"/>
  <c r="N245" i="1"/>
  <c r="O245" i="1" s="1"/>
  <c r="J245" i="1"/>
  <c r="K245" i="1" s="1"/>
  <c r="L245" i="1"/>
  <c r="M245" i="1" s="1"/>
  <c r="H245" i="1"/>
  <c r="I245" i="1" s="1"/>
  <c r="S683" i="1"/>
  <c r="U683" i="1"/>
  <c r="G683" i="1"/>
  <c r="G670" i="1"/>
  <c r="H670" i="1"/>
  <c r="I670" i="1" s="1"/>
  <c r="G687" i="1"/>
  <c r="G244" i="1"/>
  <c r="G245" i="1"/>
  <c r="J265" i="1" l="1"/>
  <c r="K265" i="1" s="1"/>
  <c r="N265" i="1"/>
  <c r="O265" i="1" s="1"/>
  <c r="P265" i="1"/>
  <c r="Q265" i="1" s="1"/>
  <c r="R265" i="1"/>
  <c r="S265" i="1" s="1"/>
  <c r="T265" i="1"/>
  <c r="U265" i="1" s="1"/>
  <c r="H265" i="1"/>
  <c r="I265" i="1" s="1"/>
  <c r="L265" i="1"/>
  <c r="M265" i="1" s="1"/>
  <c r="V265" i="1"/>
  <c r="W265" i="1" s="1"/>
  <c r="G262" i="1"/>
  <c r="F166" i="1"/>
  <c r="V166" i="1" l="1"/>
  <c r="W166" i="1" s="1"/>
  <c r="T166" i="1"/>
  <c r="U166" i="1" s="1"/>
  <c r="R166" i="1"/>
  <c r="S166" i="1" s="1"/>
  <c r="P166" i="1"/>
  <c r="Q166" i="1" s="1"/>
  <c r="N166" i="1"/>
  <c r="O166" i="1" s="1"/>
  <c r="L166" i="1"/>
  <c r="M166" i="1" s="1"/>
  <c r="J166" i="1"/>
  <c r="K166" i="1" s="1"/>
  <c r="H166" i="1"/>
  <c r="I166" i="1" s="1"/>
  <c r="G166" i="1"/>
  <c r="F618" i="1" l="1"/>
  <c r="F617" i="1"/>
  <c r="F616" i="1"/>
  <c r="F612" i="1"/>
  <c r="F611" i="1"/>
  <c r="F605" i="1"/>
  <c r="F599" i="1"/>
  <c r="F588" i="1"/>
  <c r="F570" i="1"/>
  <c r="F564" i="1"/>
  <c r="F543" i="1"/>
  <c r="F542" i="1"/>
  <c r="F463" i="1"/>
  <c r="F462" i="1"/>
  <c r="F458" i="1"/>
  <c r="F457" i="1"/>
  <c r="F442" i="1"/>
  <c r="F604" i="1"/>
  <c r="P475" i="1" l="1"/>
  <c r="Q475" i="1" s="1"/>
  <c r="V475" i="1"/>
  <c r="W475" i="1" s="1"/>
  <c r="N475" i="1"/>
  <c r="O475" i="1" s="1"/>
  <c r="T475" i="1"/>
  <c r="U475" i="1" s="1"/>
  <c r="L475" i="1"/>
  <c r="M475" i="1" s="1"/>
  <c r="R475" i="1"/>
  <c r="S475" i="1" s="1"/>
  <c r="J475" i="1"/>
  <c r="K475" i="1" s="1"/>
  <c r="P573" i="1"/>
  <c r="Q573" i="1" s="1"/>
  <c r="H573" i="1"/>
  <c r="I573" i="1" s="1"/>
  <c r="V573" i="1"/>
  <c r="W573" i="1" s="1"/>
  <c r="N573" i="1"/>
  <c r="O573" i="1" s="1"/>
  <c r="T573" i="1"/>
  <c r="U573" i="1" s="1"/>
  <c r="L573" i="1"/>
  <c r="M573" i="1" s="1"/>
  <c r="R573" i="1"/>
  <c r="S573" i="1" s="1"/>
  <c r="J573" i="1"/>
  <c r="K573" i="1" s="1"/>
  <c r="H599" i="1"/>
  <c r="I599" i="1" s="1"/>
  <c r="L599" i="1"/>
  <c r="M599" i="1" s="1"/>
  <c r="P599" i="1"/>
  <c r="Q599" i="1" s="1"/>
  <c r="T599" i="1"/>
  <c r="U599" i="1" s="1"/>
  <c r="N599" i="1"/>
  <c r="O599" i="1" s="1"/>
  <c r="V599" i="1"/>
  <c r="W599" i="1" s="1"/>
  <c r="R599" i="1"/>
  <c r="S599" i="1" s="1"/>
  <c r="J599" i="1"/>
  <c r="K599" i="1" s="1"/>
  <c r="H604" i="1"/>
  <c r="I604" i="1" s="1"/>
  <c r="L604" i="1"/>
  <c r="M604" i="1" s="1"/>
  <c r="P604" i="1"/>
  <c r="Q604" i="1" s="1"/>
  <c r="T604" i="1"/>
  <c r="U604" i="1" s="1"/>
  <c r="J604" i="1"/>
  <c r="K604" i="1" s="1"/>
  <c r="V604" i="1"/>
  <c r="W604" i="1" s="1"/>
  <c r="R604" i="1"/>
  <c r="S604" i="1" s="1"/>
  <c r="N604" i="1"/>
  <c r="O604" i="1" s="1"/>
  <c r="V523" i="1"/>
  <c r="L523" i="1"/>
  <c r="R523" i="1"/>
  <c r="J523" i="1"/>
  <c r="P523" i="1"/>
  <c r="N523" i="1"/>
  <c r="T523" i="1"/>
  <c r="H523" i="1"/>
  <c r="T543" i="1"/>
  <c r="U543" i="1" s="1"/>
  <c r="L543" i="1"/>
  <c r="M543" i="1" s="1"/>
  <c r="R543" i="1"/>
  <c r="S543" i="1" s="1"/>
  <c r="J543" i="1"/>
  <c r="K543" i="1" s="1"/>
  <c r="H543" i="1"/>
  <c r="I543" i="1" s="1"/>
  <c r="V543" i="1"/>
  <c r="W543" i="1" s="1"/>
  <c r="P543" i="1"/>
  <c r="Q543" i="1" s="1"/>
  <c r="N543" i="1"/>
  <c r="O543" i="1" s="1"/>
  <c r="H605" i="1"/>
  <c r="I605" i="1" s="1"/>
  <c r="L605" i="1"/>
  <c r="M605" i="1" s="1"/>
  <c r="P605" i="1"/>
  <c r="Q605" i="1" s="1"/>
  <c r="T605" i="1"/>
  <c r="U605" i="1" s="1"/>
  <c r="J605" i="1"/>
  <c r="K605" i="1" s="1"/>
  <c r="V605" i="1"/>
  <c r="W605" i="1" s="1"/>
  <c r="N605" i="1"/>
  <c r="O605" i="1" s="1"/>
  <c r="R605" i="1"/>
  <c r="S605" i="1" s="1"/>
  <c r="L616" i="1"/>
  <c r="M616" i="1" s="1"/>
  <c r="R616" i="1"/>
  <c r="S616" i="1" s="1"/>
  <c r="H616" i="1"/>
  <c r="I616" i="1" s="1"/>
  <c r="N616" i="1"/>
  <c r="O616" i="1" s="1"/>
  <c r="J616" i="1"/>
  <c r="K616" i="1" s="1"/>
  <c r="T616" i="1"/>
  <c r="U616" i="1" s="1"/>
  <c r="V616" i="1"/>
  <c r="W616" i="1" s="1"/>
  <c r="P616" i="1"/>
  <c r="Q616" i="1" s="1"/>
  <c r="P524" i="1"/>
  <c r="R524" i="1"/>
  <c r="N524" i="1"/>
  <c r="T524" i="1"/>
  <c r="L524" i="1"/>
  <c r="J524" i="1"/>
  <c r="H524" i="1"/>
  <c r="V524" i="1"/>
  <c r="P564" i="1"/>
  <c r="Q564" i="1" s="1"/>
  <c r="V564" i="1"/>
  <c r="W564" i="1" s="1"/>
  <c r="N564" i="1"/>
  <c r="O564" i="1" s="1"/>
  <c r="R564" i="1"/>
  <c r="S564" i="1" s="1"/>
  <c r="L564" i="1"/>
  <c r="M564" i="1" s="1"/>
  <c r="T564" i="1"/>
  <c r="U564" i="1" s="1"/>
  <c r="J588" i="1"/>
  <c r="K588" i="1" s="1"/>
  <c r="T588" i="1"/>
  <c r="U588" i="1" s="1"/>
  <c r="P588" i="1"/>
  <c r="Q588" i="1" s="1"/>
  <c r="V588" i="1"/>
  <c r="W588" i="1" s="1"/>
  <c r="L588" i="1"/>
  <c r="M588" i="1" s="1"/>
  <c r="N588" i="1"/>
  <c r="O588" i="1" s="1"/>
  <c r="R588" i="1"/>
  <c r="S588" i="1" s="1"/>
  <c r="H588" i="1"/>
  <c r="I588" i="1" s="1"/>
  <c r="H610" i="1"/>
  <c r="I610" i="1" s="1"/>
  <c r="N610" i="1"/>
  <c r="O610" i="1" s="1"/>
  <c r="R610" i="1"/>
  <c r="S610" i="1" s="1"/>
  <c r="L610" i="1"/>
  <c r="M610" i="1" s="1"/>
  <c r="T610" i="1"/>
  <c r="U610" i="1" s="1"/>
  <c r="J610" i="1"/>
  <c r="K610" i="1" s="1"/>
  <c r="P610" i="1"/>
  <c r="Q610" i="1" s="1"/>
  <c r="V610" i="1"/>
  <c r="W610" i="1" s="1"/>
  <c r="L617" i="1"/>
  <c r="M617" i="1" s="1"/>
  <c r="R617" i="1"/>
  <c r="S617" i="1" s="1"/>
  <c r="H617" i="1"/>
  <c r="I617" i="1" s="1"/>
  <c r="N617" i="1"/>
  <c r="O617" i="1" s="1"/>
  <c r="P617" i="1"/>
  <c r="Q617" i="1" s="1"/>
  <c r="J617" i="1"/>
  <c r="K617" i="1" s="1"/>
  <c r="T617" i="1"/>
  <c r="U617" i="1" s="1"/>
  <c r="V617" i="1"/>
  <c r="W617" i="1" s="1"/>
  <c r="T542" i="1"/>
  <c r="U542" i="1" s="1"/>
  <c r="L542" i="1"/>
  <c r="M542" i="1" s="1"/>
  <c r="R542" i="1"/>
  <c r="S542" i="1" s="1"/>
  <c r="J542" i="1"/>
  <c r="K542" i="1" s="1"/>
  <c r="P542" i="1"/>
  <c r="Q542" i="1" s="1"/>
  <c r="N542" i="1"/>
  <c r="O542" i="1" s="1"/>
  <c r="V542" i="1"/>
  <c r="W542" i="1" s="1"/>
  <c r="H542" i="1"/>
  <c r="I542" i="1" s="1"/>
  <c r="H612" i="1"/>
  <c r="I612" i="1" s="1"/>
  <c r="N612" i="1"/>
  <c r="O612" i="1" s="1"/>
  <c r="V612" i="1"/>
  <c r="W612" i="1" s="1"/>
  <c r="J612" i="1"/>
  <c r="K612" i="1" s="1"/>
  <c r="P612" i="1"/>
  <c r="Q612" i="1" s="1"/>
  <c r="T612" i="1"/>
  <c r="U612" i="1" s="1"/>
  <c r="L612" i="1"/>
  <c r="M612" i="1" s="1"/>
  <c r="R612" i="1"/>
  <c r="S612" i="1" s="1"/>
  <c r="P580" i="1"/>
  <c r="Q580" i="1" s="1"/>
  <c r="H580" i="1"/>
  <c r="I580" i="1" s="1"/>
  <c r="V580" i="1"/>
  <c r="W580" i="1" s="1"/>
  <c r="N580" i="1"/>
  <c r="O580" i="1" s="1"/>
  <c r="T580" i="1"/>
  <c r="U580" i="1" s="1"/>
  <c r="R580" i="1"/>
  <c r="S580" i="1" s="1"/>
  <c r="L580" i="1"/>
  <c r="M580" i="1" s="1"/>
  <c r="J580" i="1"/>
  <c r="K580" i="1" s="1"/>
  <c r="T442" i="1"/>
  <c r="U442" i="1" s="1"/>
  <c r="H442" i="1"/>
  <c r="I442" i="1" s="1"/>
  <c r="N442" i="1"/>
  <c r="O442" i="1" s="1"/>
  <c r="R442" i="1"/>
  <c r="S442" i="1" s="1"/>
  <c r="L442" i="1"/>
  <c r="M442" i="1" s="1"/>
  <c r="V442" i="1"/>
  <c r="W442" i="1" s="1"/>
  <c r="P442" i="1"/>
  <c r="Q442" i="1" s="1"/>
  <c r="J442" i="1"/>
  <c r="K442" i="1" s="1"/>
  <c r="R570" i="1"/>
  <c r="S570" i="1" s="1"/>
  <c r="V570" i="1"/>
  <c r="W570" i="1" s="1"/>
  <c r="P570" i="1"/>
  <c r="Q570" i="1" s="1"/>
  <c r="T570" i="1"/>
  <c r="U570" i="1" s="1"/>
  <c r="N570" i="1"/>
  <c r="O570" i="1" s="1"/>
  <c r="H591" i="1"/>
  <c r="I591" i="1" s="1"/>
  <c r="L591" i="1"/>
  <c r="M591" i="1" s="1"/>
  <c r="P591" i="1"/>
  <c r="Q591" i="1" s="1"/>
  <c r="T591" i="1"/>
  <c r="U591" i="1" s="1"/>
  <c r="N591" i="1"/>
  <c r="O591" i="1" s="1"/>
  <c r="V591" i="1"/>
  <c r="W591" i="1" s="1"/>
  <c r="J591" i="1"/>
  <c r="K591" i="1" s="1"/>
  <c r="R591" i="1"/>
  <c r="S591" i="1" s="1"/>
  <c r="H611" i="1"/>
  <c r="I611" i="1" s="1"/>
  <c r="N611" i="1"/>
  <c r="O611" i="1" s="1"/>
  <c r="J611" i="1"/>
  <c r="K611" i="1" s="1"/>
  <c r="P611" i="1"/>
  <c r="Q611" i="1" s="1"/>
  <c r="R611" i="1"/>
  <c r="S611" i="1" s="1"/>
  <c r="L611" i="1"/>
  <c r="M611" i="1" s="1"/>
  <c r="T611" i="1"/>
  <c r="U611" i="1" s="1"/>
  <c r="V611" i="1"/>
  <c r="W611" i="1" s="1"/>
  <c r="L618" i="1"/>
  <c r="M618" i="1" s="1"/>
  <c r="R618" i="1"/>
  <c r="S618" i="1" s="1"/>
  <c r="H618" i="1"/>
  <c r="I618" i="1" s="1"/>
  <c r="N618" i="1"/>
  <c r="O618" i="1" s="1"/>
  <c r="J618" i="1"/>
  <c r="K618" i="1" s="1"/>
  <c r="T618" i="1"/>
  <c r="U618" i="1" s="1"/>
  <c r="P618" i="1"/>
  <c r="Q618" i="1" s="1"/>
  <c r="V618" i="1"/>
  <c r="W618" i="1" s="1"/>
  <c r="V462" i="1"/>
  <c r="W462" i="1" s="1"/>
  <c r="P462" i="1"/>
  <c r="Q462" i="1" s="1"/>
  <c r="T462" i="1"/>
  <c r="U462" i="1" s="1"/>
  <c r="N462" i="1"/>
  <c r="O462" i="1" s="1"/>
  <c r="R462" i="1"/>
  <c r="S462" i="1" s="1"/>
  <c r="L462" i="1"/>
  <c r="M462" i="1" s="1"/>
  <c r="J462" i="1"/>
  <c r="K462" i="1" s="1"/>
  <c r="H462" i="1"/>
  <c r="I462" i="1" s="1"/>
  <c r="R458" i="1"/>
  <c r="S458" i="1" s="1"/>
  <c r="P458" i="1"/>
  <c r="Q458" i="1" s="1"/>
  <c r="V458" i="1"/>
  <c r="W458" i="1" s="1"/>
  <c r="T458" i="1"/>
  <c r="U458" i="1" s="1"/>
  <c r="L458" i="1"/>
  <c r="M458" i="1" s="1"/>
  <c r="H458" i="1"/>
  <c r="I458" i="1" s="1"/>
  <c r="N458" i="1"/>
  <c r="O458" i="1" s="1"/>
  <c r="J458" i="1"/>
  <c r="K458" i="1" s="1"/>
  <c r="H457" i="1"/>
  <c r="I457" i="1" s="1"/>
  <c r="V457" i="1"/>
  <c r="W457" i="1" s="1"/>
  <c r="J457" i="1"/>
  <c r="K457" i="1" s="1"/>
  <c r="T457" i="1"/>
  <c r="U457" i="1" s="1"/>
  <c r="R457" i="1"/>
  <c r="S457" i="1" s="1"/>
  <c r="P457" i="1"/>
  <c r="Q457" i="1" s="1"/>
  <c r="N457" i="1"/>
  <c r="O457" i="1" s="1"/>
  <c r="L457" i="1"/>
  <c r="M457" i="1" s="1"/>
  <c r="P463" i="1"/>
  <c r="Q463" i="1" s="1"/>
  <c r="L463" i="1"/>
  <c r="M463" i="1" s="1"/>
  <c r="J463" i="1"/>
  <c r="K463" i="1" s="1"/>
  <c r="H463" i="1"/>
  <c r="I463" i="1" s="1"/>
  <c r="R463" i="1"/>
  <c r="S463" i="1" s="1"/>
  <c r="V463" i="1"/>
  <c r="W463" i="1" s="1"/>
  <c r="N463" i="1"/>
  <c r="O463" i="1" s="1"/>
  <c r="T463" i="1"/>
  <c r="U463" i="1" s="1"/>
  <c r="J167" i="1"/>
  <c r="K167" i="1" s="1"/>
  <c r="H167" i="1"/>
  <c r="I167" i="1" s="1"/>
  <c r="V167" i="1"/>
  <c r="W167" i="1" s="1"/>
  <c r="T167" i="1"/>
  <c r="U167" i="1" s="1"/>
  <c r="R167" i="1"/>
  <c r="S167" i="1" s="1"/>
  <c r="P167" i="1"/>
  <c r="Q167" i="1" s="1"/>
  <c r="N167" i="1"/>
  <c r="O167" i="1" s="1"/>
  <c r="L167" i="1"/>
  <c r="M167" i="1" s="1"/>
  <c r="G167" i="1"/>
  <c r="G604" i="1"/>
  <c r="F426" i="1" l="1"/>
  <c r="F416" i="1"/>
  <c r="F377" i="1"/>
  <c r="F332" i="1"/>
  <c r="F277" i="1"/>
  <c r="F274" i="1"/>
  <c r="F273" i="1"/>
  <c r="F267" i="1"/>
  <c r="F266" i="1"/>
  <c r="F259" i="1"/>
  <c r="F258" i="1"/>
  <c r="F257" i="1"/>
  <c r="F256" i="1"/>
  <c r="F252" i="1"/>
  <c r="F235" i="1"/>
  <c r="F234" i="1"/>
  <c r="F233" i="1"/>
  <c r="J220" i="1"/>
  <c r="F196" i="1"/>
  <c r="F197" i="1"/>
  <c r="F202" i="1"/>
  <c r="F175" i="1"/>
  <c r="F176" i="1"/>
  <c r="F168" i="1"/>
  <c r="F104" i="1"/>
  <c r="F102" i="1"/>
  <c r="F101" i="1"/>
  <c r="F100" i="1"/>
  <c r="F99" i="1"/>
  <c r="F30" i="1"/>
  <c r="F16" i="1"/>
  <c r="F26" i="1"/>
  <c r="F29" i="1"/>
  <c r="W47" i="1"/>
  <c r="U47" i="1"/>
  <c r="S47" i="1"/>
  <c r="Q47" i="1"/>
  <c r="O47" i="1"/>
  <c r="W46" i="1"/>
  <c r="U46" i="1"/>
  <c r="S46" i="1"/>
  <c r="Q46" i="1"/>
  <c r="O46" i="1"/>
  <c r="W130" i="1"/>
  <c r="U130" i="1"/>
  <c r="S130" i="1"/>
  <c r="Q130" i="1"/>
  <c r="O130" i="1"/>
  <c r="W50" i="1"/>
  <c r="U50" i="1"/>
  <c r="S50" i="1"/>
  <c r="Q50" i="1"/>
  <c r="O50" i="1"/>
  <c r="W49" i="1"/>
  <c r="U49" i="1"/>
  <c r="S49" i="1"/>
  <c r="Q49" i="1"/>
  <c r="O49" i="1"/>
  <c r="W44" i="1"/>
  <c r="U44" i="1"/>
  <c r="S44" i="1"/>
  <c r="Q44" i="1"/>
  <c r="O44" i="1"/>
  <c r="W43" i="1"/>
  <c r="U43" i="1"/>
  <c r="S43" i="1"/>
  <c r="Q43" i="1"/>
  <c r="O43" i="1"/>
  <c r="W38" i="1"/>
  <c r="U38" i="1"/>
  <c r="S38" i="1"/>
  <c r="Q38" i="1"/>
  <c r="O38" i="1"/>
  <c r="W41" i="1"/>
  <c r="U41" i="1"/>
  <c r="S41" i="1"/>
  <c r="Q41" i="1"/>
  <c r="O41" i="1"/>
  <c r="W35" i="1"/>
  <c r="U35" i="1"/>
  <c r="S35" i="1"/>
  <c r="Q35" i="1"/>
  <c r="O35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P26" i="1" l="1"/>
  <c r="Q26" i="1" s="1"/>
  <c r="T26" i="1"/>
  <c r="U26" i="1" s="1"/>
  <c r="N26" i="1"/>
  <c r="O26" i="1" s="1"/>
  <c r="R26" i="1"/>
  <c r="S26" i="1" s="1"/>
  <c r="L26" i="1"/>
  <c r="M26" i="1" s="1"/>
  <c r="V416" i="1"/>
  <c r="W416" i="1" s="1"/>
  <c r="N416" i="1"/>
  <c r="O416" i="1" s="1"/>
  <c r="J416" i="1"/>
  <c r="K416" i="1" s="1"/>
  <c r="H416" i="1"/>
  <c r="I416" i="1" s="1"/>
  <c r="T416" i="1"/>
  <c r="U416" i="1" s="1"/>
  <c r="L416" i="1"/>
  <c r="M416" i="1" s="1"/>
  <c r="R416" i="1"/>
  <c r="S416" i="1" s="1"/>
  <c r="P416" i="1"/>
  <c r="Q416" i="1" s="1"/>
  <c r="R426" i="1"/>
  <c r="S426" i="1" s="1"/>
  <c r="L426" i="1"/>
  <c r="M426" i="1" s="1"/>
  <c r="T426" i="1"/>
  <c r="U426" i="1" s="1"/>
  <c r="H426" i="1"/>
  <c r="I426" i="1" s="1"/>
  <c r="V426" i="1"/>
  <c r="W426" i="1" s="1"/>
  <c r="P426" i="1"/>
  <c r="Q426" i="1" s="1"/>
  <c r="J426" i="1"/>
  <c r="K426" i="1" s="1"/>
  <c r="N426" i="1"/>
  <c r="O426" i="1" s="1"/>
  <c r="L410" i="1"/>
  <c r="M410" i="1" s="1"/>
  <c r="N410" i="1"/>
  <c r="O410" i="1" s="1"/>
  <c r="P410" i="1"/>
  <c r="Q410" i="1" s="1"/>
  <c r="R410" i="1"/>
  <c r="S410" i="1" s="1"/>
  <c r="T410" i="1"/>
  <c r="U410" i="1" s="1"/>
  <c r="V410" i="1"/>
  <c r="W410" i="1" s="1"/>
  <c r="L409" i="1"/>
  <c r="M409" i="1" s="1"/>
  <c r="N409" i="1"/>
  <c r="O409" i="1" s="1"/>
  <c r="P409" i="1"/>
  <c r="Q409" i="1" s="1"/>
  <c r="R409" i="1"/>
  <c r="S409" i="1" s="1"/>
  <c r="T409" i="1"/>
  <c r="U409" i="1" s="1"/>
  <c r="V409" i="1"/>
  <c r="W409" i="1" s="1"/>
  <c r="J99" i="1"/>
  <c r="K99" i="1" s="1"/>
  <c r="L99" i="1"/>
  <c r="M99" i="1" s="1"/>
  <c r="V99" i="1"/>
  <c r="W99" i="1" s="1"/>
  <c r="T99" i="1"/>
  <c r="U99" i="1" s="1"/>
  <c r="R99" i="1"/>
  <c r="S99" i="1" s="1"/>
  <c r="H99" i="1"/>
  <c r="P99" i="1"/>
  <c r="Q99" i="1" s="1"/>
  <c r="N99" i="1"/>
  <c r="O99" i="1" s="1"/>
  <c r="J168" i="1"/>
  <c r="K168" i="1" s="1"/>
  <c r="H168" i="1"/>
  <c r="I168" i="1" s="1"/>
  <c r="V168" i="1"/>
  <c r="W168" i="1" s="1"/>
  <c r="T168" i="1"/>
  <c r="U168" i="1" s="1"/>
  <c r="N168" i="1"/>
  <c r="O168" i="1" s="1"/>
  <c r="L168" i="1"/>
  <c r="M168" i="1" s="1"/>
  <c r="R168" i="1"/>
  <c r="S168" i="1" s="1"/>
  <c r="P168" i="1"/>
  <c r="Q168" i="1" s="1"/>
  <c r="P235" i="1"/>
  <c r="Q235" i="1" s="1"/>
  <c r="N235" i="1"/>
  <c r="O235" i="1" s="1"/>
  <c r="L235" i="1"/>
  <c r="M235" i="1" s="1"/>
  <c r="J235" i="1"/>
  <c r="K235" i="1" s="1"/>
  <c r="V235" i="1"/>
  <c r="W235" i="1" s="1"/>
  <c r="T235" i="1"/>
  <c r="U235" i="1" s="1"/>
  <c r="R235" i="1"/>
  <c r="S235" i="1" s="1"/>
  <c r="P377" i="1"/>
  <c r="Q377" i="1" s="1"/>
  <c r="L377" i="1"/>
  <c r="M377" i="1" s="1"/>
  <c r="J377" i="1"/>
  <c r="V377" i="1"/>
  <c r="W377" i="1" s="1"/>
  <c r="T377" i="1"/>
  <c r="U377" i="1" s="1"/>
  <c r="R377" i="1"/>
  <c r="S377" i="1" s="1"/>
  <c r="N377" i="1"/>
  <c r="O377" i="1" s="1"/>
  <c r="P100" i="1"/>
  <c r="Q100" i="1" s="1"/>
  <c r="T100" i="1"/>
  <c r="U100" i="1" s="1"/>
  <c r="N100" i="1"/>
  <c r="O100" i="1" s="1"/>
  <c r="L100" i="1"/>
  <c r="M100" i="1" s="1"/>
  <c r="R100" i="1"/>
  <c r="S100" i="1" s="1"/>
  <c r="J100" i="1"/>
  <c r="K100" i="1" s="1"/>
  <c r="V100" i="1"/>
  <c r="W100" i="1" s="1"/>
  <c r="H100" i="1"/>
  <c r="V176" i="1"/>
  <c r="W176" i="1" s="1"/>
  <c r="T176" i="1"/>
  <c r="U176" i="1" s="1"/>
  <c r="R176" i="1"/>
  <c r="S176" i="1" s="1"/>
  <c r="P176" i="1"/>
  <c r="Q176" i="1" s="1"/>
  <c r="N176" i="1"/>
  <c r="O176" i="1" s="1"/>
  <c r="J176" i="1"/>
  <c r="K176" i="1" s="1"/>
  <c r="L176" i="1"/>
  <c r="M176" i="1" s="1"/>
  <c r="H176" i="1"/>
  <c r="I176" i="1" s="1"/>
  <c r="R252" i="1"/>
  <c r="S252" i="1" s="1"/>
  <c r="T252" i="1"/>
  <c r="U252" i="1" s="1"/>
  <c r="V252" i="1"/>
  <c r="W252" i="1" s="1"/>
  <c r="H252" i="1"/>
  <c r="I252" i="1" s="1"/>
  <c r="J252" i="1"/>
  <c r="K252" i="1" s="1"/>
  <c r="L252" i="1"/>
  <c r="M252" i="1" s="1"/>
  <c r="N252" i="1"/>
  <c r="O252" i="1" s="1"/>
  <c r="P252" i="1"/>
  <c r="Q252" i="1" s="1"/>
  <c r="T378" i="1"/>
  <c r="U378" i="1" s="1"/>
  <c r="R378" i="1"/>
  <c r="S378" i="1" s="1"/>
  <c r="P378" i="1"/>
  <c r="Q378" i="1" s="1"/>
  <c r="N378" i="1"/>
  <c r="O378" i="1" s="1"/>
  <c r="L378" i="1"/>
  <c r="M378" i="1" s="1"/>
  <c r="V378" i="1"/>
  <c r="W378" i="1" s="1"/>
  <c r="V233" i="1"/>
  <c r="W233" i="1" s="1"/>
  <c r="T233" i="1"/>
  <c r="U233" i="1" s="1"/>
  <c r="R233" i="1"/>
  <c r="S233" i="1" s="1"/>
  <c r="P233" i="1"/>
  <c r="Q233" i="1" s="1"/>
  <c r="N233" i="1"/>
  <c r="O233" i="1" s="1"/>
  <c r="L233" i="1"/>
  <c r="M233" i="1" s="1"/>
  <c r="J233" i="1"/>
  <c r="K233" i="1" s="1"/>
  <c r="G175" i="1"/>
  <c r="R175" i="1"/>
  <c r="S175" i="1" s="1"/>
  <c r="P175" i="1"/>
  <c r="Q175" i="1" s="1"/>
  <c r="N175" i="1"/>
  <c r="O175" i="1" s="1"/>
  <c r="J175" i="1"/>
  <c r="K175" i="1" s="1"/>
  <c r="H175" i="1"/>
  <c r="I175" i="1" s="1"/>
  <c r="T175" i="1"/>
  <c r="U175" i="1" s="1"/>
  <c r="L175" i="1"/>
  <c r="M175" i="1" s="1"/>
  <c r="V175" i="1"/>
  <c r="W175" i="1" s="1"/>
  <c r="J256" i="1"/>
  <c r="K256" i="1" s="1"/>
  <c r="N256" i="1"/>
  <c r="O256" i="1" s="1"/>
  <c r="P256" i="1"/>
  <c r="Q256" i="1" s="1"/>
  <c r="R256" i="1"/>
  <c r="S256" i="1" s="1"/>
  <c r="T256" i="1"/>
  <c r="U256" i="1" s="1"/>
  <c r="H256" i="1"/>
  <c r="I256" i="1" s="1"/>
  <c r="L256" i="1"/>
  <c r="M256" i="1" s="1"/>
  <c r="V256" i="1"/>
  <c r="W256" i="1" s="1"/>
  <c r="V379" i="1"/>
  <c r="W379" i="1" s="1"/>
  <c r="T379" i="1"/>
  <c r="U379" i="1" s="1"/>
  <c r="R379" i="1"/>
  <c r="S379" i="1" s="1"/>
  <c r="P379" i="1"/>
  <c r="Q379" i="1" s="1"/>
  <c r="N379" i="1"/>
  <c r="O379" i="1" s="1"/>
  <c r="L379" i="1"/>
  <c r="M379" i="1" s="1"/>
  <c r="V102" i="1"/>
  <c r="W102" i="1" s="1"/>
  <c r="T102" i="1"/>
  <c r="U102" i="1" s="1"/>
  <c r="R102" i="1"/>
  <c r="S102" i="1" s="1"/>
  <c r="P102" i="1"/>
  <c r="Q102" i="1" s="1"/>
  <c r="L102" i="1"/>
  <c r="M102" i="1" s="1"/>
  <c r="N102" i="1"/>
  <c r="O102" i="1" s="1"/>
  <c r="J102" i="1"/>
  <c r="K102" i="1" s="1"/>
  <c r="H102" i="1"/>
  <c r="L202" i="1"/>
  <c r="M202" i="1" s="1"/>
  <c r="J202" i="1"/>
  <c r="K202" i="1" s="1"/>
  <c r="H202" i="1"/>
  <c r="I202" i="1" s="1"/>
  <c r="N202" i="1"/>
  <c r="O202" i="1" s="1"/>
  <c r="R202" i="1"/>
  <c r="S202" i="1" s="1"/>
  <c r="V202" i="1"/>
  <c r="W202" i="1" s="1"/>
  <c r="T202" i="1"/>
  <c r="U202" i="1" s="1"/>
  <c r="P202" i="1"/>
  <c r="Q202" i="1" s="1"/>
  <c r="J257" i="1"/>
  <c r="K257" i="1" s="1"/>
  <c r="L257" i="1"/>
  <c r="M257" i="1" s="1"/>
  <c r="N257" i="1"/>
  <c r="O257" i="1" s="1"/>
  <c r="P257" i="1"/>
  <c r="Q257" i="1" s="1"/>
  <c r="R257" i="1"/>
  <c r="S257" i="1" s="1"/>
  <c r="T257" i="1"/>
  <c r="U257" i="1" s="1"/>
  <c r="V257" i="1"/>
  <c r="W257" i="1" s="1"/>
  <c r="H257" i="1"/>
  <c r="I257" i="1" s="1"/>
  <c r="V381" i="1"/>
  <c r="W381" i="1" s="1"/>
  <c r="T381" i="1"/>
  <c r="U381" i="1" s="1"/>
  <c r="R381" i="1"/>
  <c r="S381" i="1" s="1"/>
  <c r="P381" i="1"/>
  <c r="Q381" i="1" s="1"/>
  <c r="N381" i="1"/>
  <c r="O381" i="1" s="1"/>
  <c r="L381" i="1"/>
  <c r="M381" i="1" s="1"/>
  <c r="T277" i="1"/>
  <c r="U277" i="1" s="1"/>
  <c r="R277" i="1"/>
  <c r="S277" i="1" s="1"/>
  <c r="N277" i="1"/>
  <c r="O277" i="1" s="1"/>
  <c r="L277" i="1"/>
  <c r="M277" i="1" s="1"/>
  <c r="J277" i="1"/>
  <c r="K277" i="1" s="1"/>
  <c r="H277" i="1"/>
  <c r="I277" i="1" s="1"/>
  <c r="P277" i="1"/>
  <c r="Q277" i="1" s="1"/>
  <c r="V277" i="1"/>
  <c r="W277" i="1" s="1"/>
  <c r="V104" i="1"/>
  <c r="W104" i="1" s="1"/>
  <c r="H104" i="1"/>
  <c r="T104" i="1"/>
  <c r="U104" i="1" s="1"/>
  <c r="R104" i="1"/>
  <c r="S104" i="1" s="1"/>
  <c r="P104" i="1"/>
  <c r="Q104" i="1" s="1"/>
  <c r="N104" i="1"/>
  <c r="O104" i="1" s="1"/>
  <c r="J104" i="1"/>
  <c r="K104" i="1" s="1"/>
  <c r="L104" i="1"/>
  <c r="M104" i="1" s="1"/>
  <c r="T199" i="1"/>
  <c r="U199" i="1" s="1"/>
  <c r="R199" i="1"/>
  <c r="S199" i="1" s="1"/>
  <c r="P199" i="1"/>
  <c r="Q199" i="1" s="1"/>
  <c r="N199" i="1"/>
  <c r="O199" i="1" s="1"/>
  <c r="L199" i="1"/>
  <c r="M199" i="1" s="1"/>
  <c r="V199" i="1"/>
  <c r="W199" i="1" s="1"/>
  <c r="J258" i="1"/>
  <c r="K258" i="1" s="1"/>
  <c r="N258" i="1"/>
  <c r="O258" i="1" s="1"/>
  <c r="R258" i="1"/>
  <c r="S258" i="1" s="1"/>
  <c r="T258" i="1"/>
  <c r="U258" i="1" s="1"/>
  <c r="V258" i="1"/>
  <c r="W258" i="1" s="1"/>
  <c r="L258" i="1"/>
  <c r="M258" i="1" s="1"/>
  <c r="P258" i="1"/>
  <c r="Q258" i="1" s="1"/>
  <c r="H258" i="1"/>
  <c r="I258" i="1" s="1"/>
  <c r="J274" i="1"/>
  <c r="K274" i="1" s="1"/>
  <c r="P274" i="1"/>
  <c r="Q274" i="1" s="1"/>
  <c r="R274" i="1"/>
  <c r="S274" i="1" s="1"/>
  <c r="T274" i="1"/>
  <c r="U274" i="1" s="1"/>
  <c r="N274" i="1"/>
  <c r="O274" i="1" s="1"/>
  <c r="H274" i="1"/>
  <c r="I274" i="1" s="1"/>
  <c r="V274" i="1"/>
  <c r="W274" i="1" s="1"/>
  <c r="L274" i="1"/>
  <c r="M274" i="1" s="1"/>
  <c r="V197" i="1"/>
  <c r="W197" i="1" s="1"/>
  <c r="T197" i="1"/>
  <c r="U197" i="1" s="1"/>
  <c r="R197" i="1"/>
  <c r="S197" i="1" s="1"/>
  <c r="P197" i="1"/>
  <c r="Q197" i="1" s="1"/>
  <c r="N197" i="1"/>
  <c r="O197" i="1" s="1"/>
  <c r="L197" i="1"/>
  <c r="M197" i="1" s="1"/>
  <c r="N259" i="1"/>
  <c r="O259" i="1" s="1"/>
  <c r="P259" i="1"/>
  <c r="Q259" i="1" s="1"/>
  <c r="R259" i="1"/>
  <c r="S259" i="1" s="1"/>
  <c r="T259" i="1"/>
  <c r="U259" i="1" s="1"/>
  <c r="V259" i="1"/>
  <c r="W259" i="1" s="1"/>
  <c r="H259" i="1"/>
  <c r="I259" i="1" s="1"/>
  <c r="L259" i="1"/>
  <c r="M259" i="1" s="1"/>
  <c r="J259" i="1"/>
  <c r="K259" i="1" s="1"/>
  <c r="N196" i="1"/>
  <c r="O196" i="1" s="1"/>
  <c r="L196" i="1"/>
  <c r="M196" i="1" s="1"/>
  <c r="R196" i="1"/>
  <c r="S196" i="1" s="1"/>
  <c r="P196" i="1"/>
  <c r="Q196" i="1" s="1"/>
  <c r="V196" i="1"/>
  <c r="W196" i="1" s="1"/>
  <c r="T196" i="1"/>
  <c r="U196" i="1" s="1"/>
  <c r="J266" i="1"/>
  <c r="K266" i="1" s="1"/>
  <c r="L266" i="1"/>
  <c r="M266" i="1" s="1"/>
  <c r="N266" i="1"/>
  <c r="O266" i="1" s="1"/>
  <c r="P266" i="1"/>
  <c r="Q266" i="1" s="1"/>
  <c r="R266" i="1"/>
  <c r="S266" i="1" s="1"/>
  <c r="T266" i="1"/>
  <c r="U266" i="1" s="1"/>
  <c r="V266" i="1"/>
  <c r="W266" i="1" s="1"/>
  <c r="H266" i="1"/>
  <c r="I266" i="1" s="1"/>
  <c r="J234" i="1"/>
  <c r="K234" i="1" s="1"/>
  <c r="V234" i="1"/>
  <c r="W234" i="1" s="1"/>
  <c r="T234" i="1"/>
  <c r="U234" i="1" s="1"/>
  <c r="R234" i="1"/>
  <c r="S234" i="1" s="1"/>
  <c r="N234" i="1"/>
  <c r="O234" i="1" s="1"/>
  <c r="L234" i="1"/>
  <c r="M234" i="1" s="1"/>
  <c r="P234" i="1"/>
  <c r="Q234" i="1" s="1"/>
  <c r="N101" i="1"/>
  <c r="O101" i="1" s="1"/>
  <c r="R101" i="1"/>
  <c r="S101" i="1" s="1"/>
  <c r="V101" i="1"/>
  <c r="W101" i="1" s="1"/>
  <c r="P101" i="1"/>
  <c r="Q101" i="1" s="1"/>
  <c r="L101" i="1"/>
  <c r="M101" i="1" s="1"/>
  <c r="J101" i="1"/>
  <c r="K101" i="1" s="1"/>
  <c r="H101" i="1"/>
  <c r="T101" i="1"/>
  <c r="U101" i="1" s="1"/>
  <c r="J267" i="1"/>
  <c r="K267" i="1" s="1"/>
  <c r="N267" i="1"/>
  <c r="O267" i="1" s="1"/>
  <c r="R267" i="1"/>
  <c r="S267" i="1" s="1"/>
  <c r="T267" i="1"/>
  <c r="U267" i="1" s="1"/>
  <c r="V267" i="1"/>
  <c r="W267" i="1" s="1"/>
  <c r="H267" i="1"/>
  <c r="I267" i="1" s="1"/>
  <c r="L267" i="1"/>
  <c r="M267" i="1" s="1"/>
  <c r="P267" i="1"/>
  <c r="Q267" i="1" s="1"/>
  <c r="H273" i="1"/>
  <c r="I273" i="1" s="1"/>
  <c r="L273" i="1"/>
  <c r="M273" i="1" s="1"/>
  <c r="N273" i="1"/>
  <c r="O273" i="1" s="1"/>
  <c r="P273" i="1"/>
  <c r="Q273" i="1" s="1"/>
  <c r="R273" i="1"/>
  <c r="S273" i="1" s="1"/>
  <c r="V273" i="1"/>
  <c r="W273" i="1" s="1"/>
  <c r="T273" i="1"/>
  <c r="U273" i="1" s="1"/>
  <c r="J273" i="1"/>
  <c r="K273" i="1" s="1"/>
  <c r="T29" i="1"/>
  <c r="U29" i="1" s="1"/>
  <c r="R29" i="1"/>
  <c r="S29" i="1" s="1"/>
  <c r="P29" i="1"/>
  <c r="Q29" i="1" s="1"/>
  <c r="N29" i="1"/>
  <c r="O29" i="1" s="1"/>
  <c r="L29" i="1"/>
  <c r="M29" i="1" s="1"/>
  <c r="T16" i="1"/>
  <c r="U16" i="1" s="1"/>
  <c r="P16" i="1"/>
  <c r="Q16" i="1" s="1"/>
  <c r="R16" i="1"/>
  <c r="S16" i="1" s="1"/>
  <c r="N16" i="1"/>
  <c r="O16" i="1" s="1"/>
  <c r="L16" i="1"/>
  <c r="M16" i="1" s="1"/>
  <c r="L30" i="1"/>
  <c r="M30" i="1" s="1"/>
  <c r="T30" i="1"/>
  <c r="U30" i="1" s="1"/>
  <c r="R30" i="1"/>
  <c r="S30" i="1" s="1"/>
  <c r="P30" i="1"/>
  <c r="Q30" i="1" s="1"/>
  <c r="N30" i="1"/>
  <c r="O30" i="1" s="1"/>
  <c r="V30" i="1"/>
  <c r="W30" i="1" s="1"/>
  <c r="G16" i="1"/>
  <c r="F211" i="1" l="1"/>
  <c r="F210" i="1"/>
  <c r="F133" i="1"/>
  <c r="F132" i="1"/>
  <c r="J133" i="1" l="1"/>
  <c r="V133" i="1"/>
  <c r="W133" i="1" s="1"/>
  <c r="T133" i="1"/>
  <c r="U133" i="1" s="1"/>
  <c r="N133" i="1"/>
  <c r="O133" i="1" s="1"/>
  <c r="R133" i="1"/>
  <c r="S133" i="1" s="1"/>
  <c r="P133" i="1"/>
  <c r="Q133" i="1" s="1"/>
  <c r="L133" i="1"/>
  <c r="M133" i="1" s="1"/>
  <c r="R132" i="1"/>
  <c r="S132" i="1" s="1"/>
  <c r="P132" i="1"/>
  <c r="Q132" i="1" s="1"/>
  <c r="J132" i="1"/>
  <c r="N132" i="1"/>
  <c r="O132" i="1" s="1"/>
  <c r="L132" i="1"/>
  <c r="M132" i="1" s="1"/>
  <c r="T132" i="1"/>
  <c r="U132" i="1" s="1"/>
  <c r="V132" i="1"/>
  <c r="W132" i="1" s="1"/>
  <c r="V210" i="1"/>
  <c r="W210" i="1" s="1"/>
  <c r="T210" i="1"/>
  <c r="U210" i="1" s="1"/>
  <c r="R210" i="1"/>
  <c r="S210" i="1" s="1"/>
  <c r="P210" i="1"/>
  <c r="Q210" i="1" s="1"/>
  <c r="L210" i="1"/>
  <c r="M210" i="1" s="1"/>
  <c r="N210" i="1"/>
  <c r="O210" i="1" s="1"/>
  <c r="J210" i="1"/>
  <c r="K210" i="1" s="1"/>
  <c r="J211" i="1"/>
  <c r="K211" i="1" s="1"/>
  <c r="V211" i="1"/>
  <c r="W211" i="1" s="1"/>
  <c r="T211" i="1"/>
  <c r="U211" i="1" s="1"/>
  <c r="N211" i="1"/>
  <c r="O211" i="1" s="1"/>
  <c r="R211" i="1"/>
  <c r="S211" i="1" s="1"/>
  <c r="P211" i="1"/>
  <c r="Q211" i="1" s="1"/>
  <c r="L211" i="1"/>
  <c r="M211" i="1" s="1"/>
  <c r="F535" i="1"/>
  <c r="F532" i="1"/>
  <c r="F531" i="1"/>
  <c r="F540" i="1"/>
  <c r="F539" i="1"/>
  <c r="F538" i="1"/>
  <c r="F537" i="1"/>
  <c r="F434" i="1"/>
  <c r="F433" i="1"/>
  <c r="F431" i="1"/>
  <c r="F432" i="1"/>
  <c r="F362" i="1"/>
  <c r="F411" i="1"/>
  <c r="F366" i="1"/>
  <c r="F384" i="1"/>
  <c r="F394" i="1"/>
  <c r="F401" i="1"/>
  <c r="F383" i="1"/>
  <c r="F327" i="1"/>
  <c r="F296" i="1"/>
  <c r="F275" i="1"/>
  <c r="F391" i="1"/>
  <c r="F392" i="1"/>
  <c r="F402" i="1"/>
  <c r="F428" i="1"/>
  <c r="T423" i="1" l="1"/>
  <c r="U423" i="1" s="1"/>
  <c r="H423" i="1"/>
  <c r="I423" i="1" s="1"/>
  <c r="L423" i="1"/>
  <c r="M423" i="1" s="1"/>
  <c r="P423" i="1"/>
  <c r="Q423" i="1" s="1"/>
  <c r="N423" i="1"/>
  <c r="O423" i="1" s="1"/>
  <c r="R423" i="1"/>
  <c r="S423" i="1" s="1"/>
  <c r="V423" i="1"/>
  <c r="W423" i="1" s="1"/>
  <c r="J423" i="1"/>
  <c r="K423" i="1" s="1"/>
  <c r="T327" i="1"/>
  <c r="U327" i="1" s="1"/>
  <c r="H327" i="1"/>
  <c r="I327" i="1" s="1"/>
  <c r="V327" i="1"/>
  <c r="W327" i="1" s="1"/>
  <c r="N327" i="1"/>
  <c r="O327" i="1" s="1"/>
  <c r="R327" i="1"/>
  <c r="S327" i="1" s="1"/>
  <c r="L327" i="1"/>
  <c r="M327" i="1" s="1"/>
  <c r="P327" i="1"/>
  <c r="Q327" i="1" s="1"/>
  <c r="J327" i="1"/>
  <c r="K327" i="1" s="1"/>
  <c r="P427" i="1"/>
  <c r="Q427" i="1" s="1"/>
  <c r="H427" i="1"/>
  <c r="I427" i="1" s="1"/>
  <c r="T427" i="1"/>
  <c r="U427" i="1" s="1"/>
  <c r="J427" i="1"/>
  <c r="K427" i="1" s="1"/>
  <c r="V427" i="1"/>
  <c r="W427" i="1" s="1"/>
  <c r="N427" i="1"/>
  <c r="O427" i="1" s="1"/>
  <c r="L427" i="1"/>
  <c r="M427" i="1" s="1"/>
  <c r="R427" i="1"/>
  <c r="S427" i="1" s="1"/>
  <c r="T434" i="1"/>
  <c r="U434" i="1" s="1"/>
  <c r="P434" i="1"/>
  <c r="Q434" i="1" s="1"/>
  <c r="H434" i="1"/>
  <c r="I434" i="1" s="1"/>
  <c r="R434" i="1"/>
  <c r="S434" i="1" s="1"/>
  <c r="N434" i="1"/>
  <c r="O434" i="1" s="1"/>
  <c r="L434" i="1"/>
  <c r="M434" i="1" s="1"/>
  <c r="V434" i="1"/>
  <c r="W434" i="1" s="1"/>
  <c r="J434" i="1"/>
  <c r="K434" i="1" s="1"/>
  <c r="T432" i="1"/>
  <c r="U432" i="1" s="1"/>
  <c r="P432" i="1"/>
  <c r="Q432" i="1" s="1"/>
  <c r="H432" i="1"/>
  <c r="I432" i="1" s="1"/>
  <c r="L432" i="1"/>
  <c r="M432" i="1" s="1"/>
  <c r="N432" i="1"/>
  <c r="O432" i="1" s="1"/>
  <c r="R432" i="1"/>
  <c r="S432" i="1" s="1"/>
  <c r="V432" i="1"/>
  <c r="W432" i="1" s="1"/>
  <c r="J432" i="1"/>
  <c r="K432" i="1" s="1"/>
  <c r="V418" i="1"/>
  <c r="W418" i="1" s="1"/>
  <c r="P418" i="1"/>
  <c r="Q418" i="1" s="1"/>
  <c r="J418" i="1"/>
  <c r="K418" i="1" s="1"/>
  <c r="N418" i="1"/>
  <c r="O418" i="1" s="1"/>
  <c r="R418" i="1"/>
  <c r="S418" i="1" s="1"/>
  <c r="T418" i="1"/>
  <c r="U418" i="1" s="1"/>
  <c r="H418" i="1"/>
  <c r="I418" i="1" s="1"/>
  <c r="L418" i="1"/>
  <c r="M418" i="1" s="1"/>
  <c r="T430" i="1"/>
  <c r="U430" i="1" s="1"/>
  <c r="L430" i="1"/>
  <c r="M430" i="1" s="1"/>
  <c r="P430" i="1"/>
  <c r="Q430" i="1" s="1"/>
  <c r="V430" i="1"/>
  <c r="W430" i="1" s="1"/>
  <c r="R430" i="1"/>
  <c r="S430" i="1" s="1"/>
  <c r="J430" i="1"/>
  <c r="K430" i="1" s="1"/>
  <c r="H430" i="1"/>
  <c r="I430" i="1" s="1"/>
  <c r="N430" i="1"/>
  <c r="O430" i="1" s="1"/>
  <c r="T540" i="1"/>
  <c r="U540" i="1" s="1"/>
  <c r="L540" i="1"/>
  <c r="M540" i="1" s="1"/>
  <c r="R540" i="1"/>
  <c r="S540" i="1" s="1"/>
  <c r="J540" i="1"/>
  <c r="K540" i="1" s="1"/>
  <c r="H540" i="1"/>
  <c r="I540" i="1" s="1"/>
  <c r="V540" i="1"/>
  <c r="W540" i="1" s="1"/>
  <c r="P540" i="1"/>
  <c r="Q540" i="1" s="1"/>
  <c r="N540" i="1"/>
  <c r="O540" i="1" s="1"/>
  <c r="N417" i="1"/>
  <c r="O417" i="1" s="1"/>
  <c r="P417" i="1"/>
  <c r="Q417" i="1" s="1"/>
  <c r="T417" i="1"/>
  <c r="U417" i="1" s="1"/>
  <c r="H417" i="1"/>
  <c r="I417" i="1" s="1"/>
  <c r="R417" i="1"/>
  <c r="S417" i="1" s="1"/>
  <c r="L417" i="1"/>
  <c r="M417" i="1" s="1"/>
  <c r="V417" i="1"/>
  <c r="W417" i="1" s="1"/>
  <c r="J417" i="1"/>
  <c r="K417" i="1" s="1"/>
  <c r="T537" i="1"/>
  <c r="U537" i="1" s="1"/>
  <c r="L537" i="1"/>
  <c r="M537" i="1" s="1"/>
  <c r="R537" i="1"/>
  <c r="S537" i="1" s="1"/>
  <c r="J537" i="1"/>
  <c r="K537" i="1" s="1"/>
  <c r="H537" i="1"/>
  <c r="I537" i="1" s="1"/>
  <c r="V537" i="1"/>
  <c r="W537" i="1" s="1"/>
  <c r="P537" i="1"/>
  <c r="Q537" i="1" s="1"/>
  <c r="N537" i="1"/>
  <c r="O537" i="1" s="1"/>
  <c r="T531" i="1"/>
  <c r="U531" i="1" s="1"/>
  <c r="L531" i="1"/>
  <c r="M531" i="1" s="1"/>
  <c r="R531" i="1"/>
  <c r="S531" i="1" s="1"/>
  <c r="J531" i="1"/>
  <c r="K531" i="1" s="1"/>
  <c r="H531" i="1"/>
  <c r="I531" i="1" s="1"/>
  <c r="V531" i="1"/>
  <c r="W531" i="1" s="1"/>
  <c r="P531" i="1"/>
  <c r="Q531" i="1" s="1"/>
  <c r="N531" i="1"/>
  <c r="O531" i="1" s="1"/>
  <c r="V428" i="1"/>
  <c r="W428" i="1" s="1"/>
  <c r="N428" i="1"/>
  <c r="O428" i="1" s="1"/>
  <c r="J428" i="1"/>
  <c r="K428" i="1" s="1"/>
  <c r="H428" i="1"/>
  <c r="I428" i="1" s="1"/>
  <c r="T428" i="1"/>
  <c r="U428" i="1" s="1"/>
  <c r="L428" i="1"/>
  <c r="M428" i="1" s="1"/>
  <c r="R428" i="1"/>
  <c r="S428" i="1" s="1"/>
  <c r="P428" i="1"/>
  <c r="Q428" i="1" s="1"/>
  <c r="R431" i="1"/>
  <c r="S431" i="1" s="1"/>
  <c r="L431" i="1"/>
  <c r="M431" i="1" s="1"/>
  <c r="V431" i="1"/>
  <c r="W431" i="1" s="1"/>
  <c r="P431" i="1"/>
  <c r="Q431" i="1" s="1"/>
  <c r="J431" i="1"/>
  <c r="K431" i="1" s="1"/>
  <c r="T431" i="1"/>
  <c r="U431" i="1" s="1"/>
  <c r="H431" i="1"/>
  <c r="I431" i="1" s="1"/>
  <c r="N431" i="1"/>
  <c r="O431" i="1" s="1"/>
  <c r="T538" i="1"/>
  <c r="U538" i="1" s="1"/>
  <c r="L538" i="1"/>
  <c r="M538" i="1" s="1"/>
  <c r="R538" i="1"/>
  <c r="S538" i="1" s="1"/>
  <c r="J538" i="1"/>
  <c r="K538" i="1" s="1"/>
  <c r="H538" i="1"/>
  <c r="I538" i="1" s="1"/>
  <c r="V538" i="1"/>
  <c r="W538" i="1" s="1"/>
  <c r="P538" i="1"/>
  <c r="Q538" i="1" s="1"/>
  <c r="N538" i="1"/>
  <c r="O538" i="1" s="1"/>
  <c r="T532" i="1"/>
  <c r="U532" i="1" s="1"/>
  <c r="L532" i="1"/>
  <c r="M532" i="1" s="1"/>
  <c r="R532" i="1"/>
  <c r="S532" i="1" s="1"/>
  <c r="J532" i="1"/>
  <c r="K532" i="1" s="1"/>
  <c r="P532" i="1"/>
  <c r="Q532" i="1" s="1"/>
  <c r="N532" i="1"/>
  <c r="O532" i="1" s="1"/>
  <c r="V532" i="1"/>
  <c r="W532" i="1" s="1"/>
  <c r="H532" i="1"/>
  <c r="I532" i="1" s="1"/>
  <c r="R424" i="1"/>
  <c r="S424" i="1" s="1"/>
  <c r="L424" i="1"/>
  <c r="M424" i="1" s="1"/>
  <c r="N424" i="1"/>
  <c r="O424" i="1" s="1"/>
  <c r="V424" i="1"/>
  <c r="W424" i="1" s="1"/>
  <c r="P424" i="1"/>
  <c r="Q424" i="1" s="1"/>
  <c r="J424" i="1"/>
  <c r="K424" i="1" s="1"/>
  <c r="T424" i="1"/>
  <c r="U424" i="1" s="1"/>
  <c r="H424" i="1"/>
  <c r="I424" i="1" s="1"/>
  <c r="N429" i="1"/>
  <c r="O429" i="1" s="1"/>
  <c r="H429" i="1"/>
  <c r="I429" i="1" s="1"/>
  <c r="R429" i="1"/>
  <c r="S429" i="1" s="1"/>
  <c r="V429" i="1"/>
  <c r="W429" i="1" s="1"/>
  <c r="T429" i="1"/>
  <c r="U429" i="1" s="1"/>
  <c r="L429" i="1"/>
  <c r="M429" i="1" s="1"/>
  <c r="J429" i="1"/>
  <c r="K429" i="1" s="1"/>
  <c r="P429" i="1"/>
  <c r="Q429" i="1" s="1"/>
  <c r="R433" i="1"/>
  <c r="S433" i="1" s="1"/>
  <c r="L433" i="1"/>
  <c r="M433" i="1" s="1"/>
  <c r="T433" i="1"/>
  <c r="U433" i="1" s="1"/>
  <c r="H433" i="1"/>
  <c r="I433" i="1" s="1"/>
  <c r="N433" i="1"/>
  <c r="O433" i="1" s="1"/>
  <c r="V433" i="1"/>
  <c r="W433" i="1" s="1"/>
  <c r="J433" i="1"/>
  <c r="K433" i="1" s="1"/>
  <c r="P433" i="1"/>
  <c r="Q433" i="1" s="1"/>
  <c r="V539" i="1"/>
  <c r="W539" i="1" s="1"/>
  <c r="P539" i="1"/>
  <c r="Q539" i="1" s="1"/>
  <c r="T539" i="1"/>
  <c r="U539" i="1" s="1"/>
  <c r="J539" i="1"/>
  <c r="K539" i="1" s="1"/>
  <c r="H539" i="1"/>
  <c r="I539" i="1" s="1"/>
  <c r="R539" i="1"/>
  <c r="S539" i="1" s="1"/>
  <c r="N539" i="1"/>
  <c r="O539" i="1" s="1"/>
  <c r="L539" i="1"/>
  <c r="M539" i="1" s="1"/>
  <c r="V535" i="1"/>
  <c r="W535" i="1" s="1"/>
  <c r="P535" i="1"/>
  <c r="Q535" i="1" s="1"/>
  <c r="T535" i="1"/>
  <c r="U535" i="1" s="1"/>
  <c r="J535" i="1"/>
  <c r="K535" i="1" s="1"/>
  <c r="N535" i="1"/>
  <c r="O535" i="1" s="1"/>
  <c r="L535" i="1"/>
  <c r="M535" i="1" s="1"/>
  <c r="R535" i="1"/>
  <c r="S535" i="1" s="1"/>
  <c r="H535" i="1"/>
  <c r="I535" i="1" s="1"/>
  <c r="P402" i="1"/>
  <c r="Q402" i="1" s="1"/>
  <c r="N402" i="1"/>
  <c r="O402" i="1" s="1"/>
  <c r="L402" i="1"/>
  <c r="M402" i="1" s="1"/>
  <c r="R402" i="1"/>
  <c r="S402" i="1" s="1"/>
  <c r="V402" i="1"/>
  <c r="W402" i="1" s="1"/>
  <c r="T402" i="1"/>
  <c r="U402" i="1" s="1"/>
  <c r="T392" i="1"/>
  <c r="U392" i="1" s="1"/>
  <c r="R392" i="1"/>
  <c r="S392" i="1" s="1"/>
  <c r="P392" i="1"/>
  <c r="Q392" i="1" s="1"/>
  <c r="L392" i="1"/>
  <c r="M392" i="1" s="1"/>
  <c r="N392" i="1"/>
  <c r="O392" i="1" s="1"/>
  <c r="V392" i="1"/>
  <c r="W392" i="1" s="1"/>
  <c r="N411" i="1"/>
  <c r="O411" i="1" s="1"/>
  <c r="P411" i="1"/>
  <c r="Q411" i="1" s="1"/>
  <c r="R411" i="1"/>
  <c r="S411" i="1" s="1"/>
  <c r="V411" i="1"/>
  <c r="W411" i="1" s="1"/>
  <c r="T411" i="1"/>
  <c r="U411" i="1" s="1"/>
  <c r="L411" i="1"/>
  <c r="M411" i="1" s="1"/>
  <c r="V391" i="1"/>
  <c r="W391" i="1" s="1"/>
  <c r="N391" i="1"/>
  <c r="O391" i="1" s="1"/>
  <c r="T391" i="1"/>
  <c r="U391" i="1" s="1"/>
  <c r="R391" i="1"/>
  <c r="S391" i="1" s="1"/>
  <c r="L391" i="1"/>
  <c r="M391" i="1" s="1"/>
  <c r="P391" i="1"/>
  <c r="Q391" i="1" s="1"/>
  <c r="V401" i="1"/>
  <c r="W401" i="1" s="1"/>
  <c r="T401" i="1"/>
  <c r="U401" i="1" s="1"/>
  <c r="R401" i="1"/>
  <c r="S401" i="1" s="1"/>
  <c r="P401" i="1"/>
  <c r="Q401" i="1" s="1"/>
  <c r="N401" i="1"/>
  <c r="O401" i="1" s="1"/>
  <c r="L401" i="1"/>
  <c r="M401" i="1" s="1"/>
  <c r="N394" i="1"/>
  <c r="O394" i="1" s="1"/>
  <c r="V394" i="1"/>
  <c r="W394" i="1" s="1"/>
  <c r="L394" i="1"/>
  <c r="M394" i="1" s="1"/>
  <c r="T394" i="1"/>
  <c r="U394" i="1" s="1"/>
  <c r="R394" i="1"/>
  <c r="S394" i="1" s="1"/>
  <c r="P394" i="1"/>
  <c r="Q394" i="1" s="1"/>
  <c r="V366" i="1"/>
  <c r="W366" i="1" s="1"/>
  <c r="T366" i="1"/>
  <c r="U366" i="1" s="1"/>
  <c r="R366" i="1"/>
  <c r="S366" i="1" s="1"/>
  <c r="P366" i="1"/>
  <c r="Q366" i="1" s="1"/>
  <c r="N366" i="1"/>
  <c r="O366" i="1" s="1"/>
  <c r="L366" i="1"/>
  <c r="M366" i="1" s="1"/>
  <c r="V362" i="1"/>
  <c r="W362" i="1" s="1"/>
  <c r="R362" i="1"/>
  <c r="S362" i="1" s="1"/>
  <c r="P362" i="1"/>
  <c r="Q362" i="1" s="1"/>
  <c r="N362" i="1"/>
  <c r="O362" i="1" s="1"/>
  <c r="L362" i="1"/>
  <c r="M362" i="1" s="1"/>
  <c r="T362" i="1"/>
  <c r="U362" i="1" s="1"/>
  <c r="P310" i="1"/>
  <c r="Q310" i="1" s="1"/>
  <c r="N310" i="1"/>
  <c r="O310" i="1" s="1"/>
  <c r="L310" i="1"/>
  <c r="M310" i="1" s="1"/>
  <c r="J310" i="1"/>
  <c r="K310" i="1" s="1"/>
  <c r="H310" i="1"/>
  <c r="I310" i="1" s="1"/>
  <c r="V310" i="1"/>
  <c r="W310" i="1" s="1"/>
  <c r="T310" i="1"/>
  <c r="U310" i="1" s="1"/>
  <c r="R310" i="1"/>
  <c r="S310" i="1" s="1"/>
  <c r="L314" i="1"/>
  <c r="M314" i="1" s="1"/>
  <c r="J314" i="1"/>
  <c r="K314" i="1" s="1"/>
  <c r="H314" i="1"/>
  <c r="I314" i="1" s="1"/>
  <c r="V314" i="1"/>
  <c r="W314" i="1" s="1"/>
  <c r="T314" i="1"/>
  <c r="U314" i="1" s="1"/>
  <c r="R314" i="1"/>
  <c r="S314" i="1" s="1"/>
  <c r="P314" i="1"/>
  <c r="Q314" i="1" s="1"/>
  <c r="N314" i="1"/>
  <c r="O314" i="1" s="1"/>
  <c r="L275" i="1"/>
  <c r="M275" i="1" s="1"/>
  <c r="V275" i="1"/>
  <c r="W275" i="1" s="1"/>
  <c r="T275" i="1"/>
  <c r="U275" i="1" s="1"/>
  <c r="R275" i="1"/>
  <c r="S275" i="1" s="1"/>
  <c r="P275" i="1"/>
  <c r="Q275" i="1" s="1"/>
  <c r="N275" i="1"/>
  <c r="O275" i="1" s="1"/>
  <c r="J275" i="1"/>
  <c r="K275" i="1" s="1"/>
  <c r="V296" i="1"/>
  <c r="W296" i="1" s="1"/>
  <c r="T296" i="1"/>
  <c r="U296" i="1" s="1"/>
  <c r="R296" i="1"/>
  <c r="S296" i="1" s="1"/>
  <c r="P296" i="1"/>
  <c r="Q296" i="1" s="1"/>
  <c r="N296" i="1"/>
  <c r="O296" i="1" s="1"/>
  <c r="L296" i="1"/>
  <c r="M296" i="1" s="1"/>
  <c r="J296" i="1"/>
  <c r="K296" i="1" s="1"/>
  <c r="H296" i="1"/>
  <c r="I296" i="1" s="1"/>
  <c r="T384" i="1"/>
  <c r="U384" i="1" s="1"/>
  <c r="R384" i="1"/>
  <c r="S384" i="1" s="1"/>
  <c r="P384" i="1"/>
  <c r="Q384" i="1" s="1"/>
  <c r="N384" i="1"/>
  <c r="O384" i="1" s="1"/>
  <c r="L384" i="1"/>
  <c r="M384" i="1" s="1"/>
  <c r="V384" i="1"/>
  <c r="W384" i="1" s="1"/>
  <c r="P383" i="1"/>
  <c r="Q383" i="1" s="1"/>
  <c r="N383" i="1"/>
  <c r="O383" i="1" s="1"/>
  <c r="L383" i="1"/>
  <c r="M383" i="1" s="1"/>
  <c r="V383" i="1"/>
  <c r="W383" i="1" s="1"/>
  <c r="T383" i="1"/>
  <c r="U383" i="1" s="1"/>
  <c r="R383" i="1"/>
  <c r="S383" i="1" s="1"/>
  <c r="G314" i="1"/>
  <c r="G310" i="1"/>
  <c r="G275" i="1"/>
  <c r="G391" i="1"/>
  <c r="G392" i="1"/>
  <c r="G428" i="1" l="1"/>
  <c r="F468" i="1" l="1"/>
  <c r="F489" i="1"/>
  <c r="F488" i="1"/>
  <c r="F492" i="1"/>
  <c r="F518" i="1"/>
  <c r="G512" i="1"/>
  <c r="F509" i="1"/>
  <c r="F672" i="1"/>
  <c r="F689" i="1"/>
  <c r="F688" i="1"/>
  <c r="F686" i="1"/>
  <c r="T689" i="1" l="1"/>
  <c r="N689" i="1"/>
  <c r="L689" i="1"/>
  <c r="P689" i="1"/>
  <c r="J689" i="1"/>
  <c r="R689" i="1"/>
  <c r="R686" i="1"/>
  <c r="P686" i="1"/>
  <c r="T686" i="1"/>
  <c r="J686" i="1"/>
  <c r="K686" i="1" s="1"/>
  <c r="V686" i="1"/>
  <c r="L686" i="1"/>
  <c r="N686" i="1"/>
  <c r="R688" i="1"/>
  <c r="S688" i="1" s="1"/>
  <c r="J688" i="1"/>
  <c r="K688" i="1" s="1"/>
  <c r="P688" i="1"/>
  <c r="Q688" i="1" s="1"/>
  <c r="H688" i="1"/>
  <c r="I688" i="1" s="1"/>
  <c r="T688" i="1"/>
  <c r="U688" i="1" s="1"/>
  <c r="V688" i="1"/>
  <c r="W688" i="1" s="1"/>
  <c r="N688" i="1"/>
  <c r="O688" i="1" s="1"/>
  <c r="L688" i="1"/>
  <c r="M688" i="1" s="1"/>
  <c r="R672" i="1"/>
  <c r="S672" i="1" s="1"/>
  <c r="J672" i="1"/>
  <c r="K672" i="1" s="1"/>
  <c r="T672" i="1"/>
  <c r="U672" i="1" s="1"/>
  <c r="L672" i="1"/>
  <c r="M672" i="1" s="1"/>
  <c r="P672" i="1"/>
  <c r="Q672" i="1" s="1"/>
  <c r="H672" i="1"/>
  <c r="I672" i="1" s="1"/>
  <c r="V672" i="1"/>
  <c r="W672" i="1" s="1"/>
  <c r="N672" i="1"/>
  <c r="O672" i="1" s="1"/>
  <c r="R508" i="1"/>
  <c r="S508" i="1" s="1"/>
  <c r="L508" i="1"/>
  <c r="M508" i="1" s="1"/>
  <c r="H508" i="1"/>
  <c r="I508" i="1" s="1"/>
  <c r="V508" i="1"/>
  <c r="W508" i="1" s="1"/>
  <c r="P508" i="1"/>
  <c r="Q508" i="1" s="1"/>
  <c r="N508" i="1"/>
  <c r="O508" i="1" s="1"/>
  <c r="T508" i="1"/>
  <c r="U508" i="1" s="1"/>
  <c r="J508" i="1"/>
  <c r="K508" i="1" s="1"/>
  <c r="H509" i="1"/>
  <c r="I509" i="1" s="1"/>
  <c r="N509" i="1"/>
  <c r="O509" i="1" s="1"/>
  <c r="R509" i="1"/>
  <c r="S509" i="1" s="1"/>
  <c r="L509" i="1"/>
  <c r="M509" i="1" s="1"/>
  <c r="T509" i="1"/>
  <c r="U509" i="1" s="1"/>
  <c r="J509" i="1"/>
  <c r="K509" i="1" s="1"/>
  <c r="V509" i="1"/>
  <c r="W509" i="1" s="1"/>
  <c r="P509" i="1"/>
  <c r="Q509" i="1" s="1"/>
  <c r="T518" i="1"/>
  <c r="U518" i="1" s="1"/>
  <c r="L518" i="1"/>
  <c r="M518" i="1" s="1"/>
  <c r="R518" i="1"/>
  <c r="S518" i="1" s="1"/>
  <c r="J518" i="1"/>
  <c r="K518" i="1" s="1"/>
  <c r="H518" i="1"/>
  <c r="I518" i="1" s="1"/>
  <c r="N518" i="1"/>
  <c r="O518" i="1" s="1"/>
  <c r="V518" i="1"/>
  <c r="W518" i="1" s="1"/>
  <c r="P518" i="1"/>
  <c r="Q518" i="1" s="1"/>
  <c r="R492" i="1"/>
  <c r="S492" i="1" s="1"/>
  <c r="H492" i="1"/>
  <c r="I492" i="1" s="1"/>
  <c r="V492" i="1"/>
  <c r="W492" i="1" s="1"/>
  <c r="T492" i="1"/>
  <c r="U492" i="1" s="1"/>
  <c r="P492" i="1"/>
  <c r="Q492" i="1" s="1"/>
  <c r="L492" i="1"/>
  <c r="M492" i="1" s="1"/>
  <c r="N492" i="1"/>
  <c r="O492" i="1" s="1"/>
  <c r="J492" i="1"/>
  <c r="K492" i="1" s="1"/>
  <c r="L488" i="1"/>
  <c r="M488" i="1" s="1"/>
  <c r="J488" i="1"/>
  <c r="K488" i="1" s="1"/>
  <c r="N488" i="1"/>
  <c r="O488" i="1" s="1"/>
  <c r="H488" i="1"/>
  <c r="I488" i="1" s="1"/>
  <c r="V488" i="1"/>
  <c r="W488" i="1" s="1"/>
  <c r="R488" i="1"/>
  <c r="S488" i="1" s="1"/>
  <c r="P488" i="1"/>
  <c r="Q488" i="1" s="1"/>
  <c r="T488" i="1"/>
  <c r="U488" i="1" s="1"/>
  <c r="L489" i="1"/>
  <c r="M489" i="1" s="1"/>
  <c r="J489" i="1"/>
  <c r="K489" i="1" s="1"/>
  <c r="H489" i="1"/>
  <c r="I489" i="1" s="1"/>
  <c r="K689" i="1"/>
  <c r="G509" i="1"/>
  <c r="G508" i="1"/>
  <c r="G672" i="1"/>
  <c r="G688" i="1"/>
  <c r="F619" i="1" l="1"/>
  <c r="F313" i="1"/>
  <c r="L619" i="1" l="1"/>
  <c r="M619" i="1" s="1"/>
  <c r="R619" i="1"/>
  <c r="S619" i="1" s="1"/>
  <c r="H619" i="1"/>
  <c r="I619" i="1" s="1"/>
  <c r="N619" i="1"/>
  <c r="O619" i="1" s="1"/>
  <c r="J619" i="1"/>
  <c r="K619" i="1" s="1"/>
  <c r="V619" i="1"/>
  <c r="W619" i="1" s="1"/>
  <c r="P619" i="1"/>
  <c r="Q619" i="1" s="1"/>
  <c r="T619" i="1"/>
  <c r="U619" i="1" s="1"/>
  <c r="L313" i="1"/>
  <c r="M313" i="1" s="1"/>
  <c r="H313" i="1"/>
  <c r="I313" i="1" s="1"/>
  <c r="V313" i="1"/>
  <c r="W313" i="1" s="1"/>
  <c r="T313" i="1"/>
  <c r="U313" i="1" s="1"/>
  <c r="R313" i="1"/>
  <c r="S313" i="1" s="1"/>
  <c r="P313" i="1"/>
  <c r="Q313" i="1" s="1"/>
  <c r="J313" i="1"/>
  <c r="K313" i="1" s="1"/>
  <c r="N313" i="1"/>
  <c r="O313" i="1" s="1"/>
  <c r="H14" i="1"/>
  <c r="R14" i="1"/>
  <c r="J14" i="1"/>
  <c r="T14" i="1"/>
  <c r="L14" i="1"/>
  <c r="P14" i="1"/>
  <c r="N14" i="1"/>
  <c r="G619" i="1"/>
  <c r="G470" i="1"/>
  <c r="G418" i="1" l="1"/>
  <c r="G469" i="1"/>
  <c r="F331" i="1"/>
  <c r="G331" i="1" l="1"/>
  <c r="G235" i="1" l="1"/>
  <c r="F213" i="1"/>
  <c r="P213" i="1" l="1"/>
  <c r="Q213" i="1" s="1"/>
  <c r="N213" i="1"/>
  <c r="O213" i="1" s="1"/>
  <c r="L213" i="1"/>
  <c r="M213" i="1" s="1"/>
  <c r="J213" i="1"/>
  <c r="K213" i="1" s="1"/>
  <c r="H213" i="1"/>
  <c r="I213" i="1" s="1"/>
  <c r="V213" i="1"/>
  <c r="W213" i="1" s="1"/>
  <c r="R213" i="1"/>
  <c r="S213" i="1" s="1"/>
  <c r="T213" i="1"/>
  <c r="U213" i="1" s="1"/>
  <c r="G544" i="1" l="1"/>
  <c r="R290" i="1" l="1"/>
  <c r="S290" i="1" s="1"/>
  <c r="N290" i="1"/>
  <c r="O290" i="1" s="1"/>
  <c r="L290" i="1"/>
  <c r="M290" i="1" s="1"/>
  <c r="J290" i="1"/>
  <c r="K290" i="1" s="1"/>
  <c r="H290" i="1"/>
  <c r="I290" i="1" s="1"/>
  <c r="V290" i="1"/>
  <c r="W290" i="1" s="1"/>
  <c r="T290" i="1"/>
  <c r="U290" i="1" s="1"/>
  <c r="P290" i="1"/>
  <c r="Q290" i="1" s="1"/>
  <c r="G290" i="1"/>
  <c r="G273" i="1" l="1"/>
  <c r="L446" i="1"/>
  <c r="F437" i="1" l="1"/>
  <c r="F421" i="1"/>
  <c r="V421" i="1" l="1"/>
  <c r="N421" i="1"/>
  <c r="O421" i="1" s="1"/>
  <c r="J421" i="1"/>
  <c r="K421" i="1" s="1"/>
  <c r="H421" i="1"/>
  <c r="I421" i="1" s="1"/>
  <c r="T421" i="1"/>
  <c r="U421" i="1" s="1"/>
  <c r="L421" i="1"/>
  <c r="R421" i="1"/>
  <c r="S421" i="1" s="1"/>
  <c r="P421" i="1"/>
  <c r="Q421" i="1" s="1"/>
  <c r="P437" i="1"/>
  <c r="Q437" i="1" s="1"/>
  <c r="H437" i="1"/>
  <c r="I437" i="1" s="1"/>
  <c r="L437" i="1"/>
  <c r="M437" i="1" s="1"/>
  <c r="R437" i="1"/>
  <c r="S437" i="1" s="1"/>
  <c r="V437" i="1"/>
  <c r="W437" i="1" s="1"/>
  <c r="N437" i="1"/>
  <c r="O437" i="1" s="1"/>
  <c r="T437" i="1"/>
  <c r="U437" i="1" s="1"/>
  <c r="J437" i="1"/>
  <c r="K437" i="1" s="1"/>
  <c r="G437" i="1"/>
  <c r="G421" i="1"/>
  <c r="W421" i="1"/>
  <c r="M421" i="1"/>
  <c r="F250" i="1"/>
  <c r="K497" i="1"/>
  <c r="G497" i="1"/>
  <c r="I632" i="1"/>
  <c r="I633" i="1"/>
  <c r="W499" i="1"/>
  <c r="U499" i="1"/>
  <c r="S499" i="1"/>
  <c r="Q499" i="1"/>
  <c r="O499" i="1"/>
  <c r="M499" i="1"/>
  <c r="F459" i="1"/>
  <c r="N459" i="1" l="1"/>
  <c r="O459" i="1" s="1"/>
  <c r="H459" i="1"/>
  <c r="I459" i="1" s="1"/>
  <c r="R459" i="1"/>
  <c r="S459" i="1" s="1"/>
  <c r="L459" i="1"/>
  <c r="M459" i="1" s="1"/>
  <c r="V459" i="1"/>
  <c r="W459" i="1" s="1"/>
  <c r="P459" i="1"/>
  <c r="Q459" i="1" s="1"/>
  <c r="T459" i="1"/>
  <c r="U459" i="1" s="1"/>
  <c r="J459" i="1"/>
  <c r="K459" i="1" s="1"/>
  <c r="P422" i="1"/>
  <c r="Q422" i="1" s="1"/>
  <c r="H422" i="1"/>
  <c r="I422" i="1" s="1"/>
  <c r="J422" i="1"/>
  <c r="K422" i="1" s="1"/>
  <c r="V422" i="1"/>
  <c r="W422" i="1" s="1"/>
  <c r="N422" i="1"/>
  <c r="O422" i="1" s="1"/>
  <c r="T422" i="1"/>
  <c r="U422" i="1" s="1"/>
  <c r="L422" i="1"/>
  <c r="M422" i="1" s="1"/>
  <c r="R422" i="1"/>
  <c r="S422" i="1" s="1"/>
  <c r="N250" i="1"/>
  <c r="O250" i="1" s="1"/>
  <c r="P250" i="1"/>
  <c r="Q250" i="1" s="1"/>
  <c r="R250" i="1"/>
  <c r="S250" i="1" s="1"/>
  <c r="T250" i="1"/>
  <c r="U250" i="1" s="1"/>
  <c r="V250" i="1"/>
  <c r="W250" i="1" s="1"/>
  <c r="H250" i="1"/>
  <c r="I250" i="1" s="1"/>
  <c r="J250" i="1"/>
  <c r="K250" i="1" s="1"/>
  <c r="L250" i="1"/>
  <c r="M250" i="1" s="1"/>
  <c r="G570" i="1"/>
  <c r="G250" i="1"/>
  <c r="G422" i="1"/>
  <c r="G459" i="1"/>
  <c r="P468" i="1"/>
  <c r="J468" i="1" l="1"/>
  <c r="K468" i="1" s="1"/>
  <c r="L468" i="1"/>
  <c r="M468" i="1" s="1"/>
  <c r="N468" i="1"/>
  <c r="O468" i="1" s="1"/>
  <c r="V468" i="1"/>
  <c r="W468" i="1" s="1"/>
  <c r="T468" i="1"/>
  <c r="U468" i="1" s="1"/>
  <c r="R468" i="1"/>
  <c r="S468" i="1" s="1"/>
  <c r="G170" i="1"/>
  <c r="Q468" i="1"/>
  <c r="G468" i="1"/>
  <c r="G257" i="1" l="1"/>
  <c r="F370" i="1"/>
  <c r="V370" i="1" l="1"/>
  <c r="W370" i="1" s="1"/>
  <c r="R370" i="1"/>
  <c r="S370" i="1" s="1"/>
  <c r="P370" i="1"/>
  <c r="Q370" i="1" s="1"/>
  <c r="N370" i="1"/>
  <c r="O370" i="1" s="1"/>
  <c r="L370" i="1"/>
  <c r="M370" i="1" s="1"/>
  <c r="T370" i="1"/>
  <c r="U370" i="1" s="1"/>
  <c r="G370" i="1"/>
  <c r="F360" i="1"/>
  <c r="V390" i="1" l="1"/>
  <c r="W390" i="1" s="1"/>
  <c r="T390" i="1"/>
  <c r="U390" i="1" s="1"/>
  <c r="R390" i="1"/>
  <c r="S390" i="1" s="1"/>
  <c r="L390" i="1"/>
  <c r="M390" i="1" s="1"/>
  <c r="P390" i="1"/>
  <c r="Q390" i="1" s="1"/>
  <c r="N390" i="1"/>
  <c r="O390" i="1" s="1"/>
  <c r="V360" i="1"/>
  <c r="W360" i="1" s="1"/>
  <c r="T360" i="1"/>
  <c r="U360" i="1" s="1"/>
  <c r="R360" i="1"/>
  <c r="S360" i="1" s="1"/>
  <c r="P360" i="1"/>
  <c r="Q360" i="1" s="1"/>
  <c r="N360" i="1"/>
  <c r="O360" i="1" s="1"/>
  <c r="L360" i="1"/>
  <c r="M360" i="1" s="1"/>
  <c r="G605" i="1"/>
  <c r="F577" i="1"/>
  <c r="F581" i="1"/>
  <c r="F575" i="1"/>
  <c r="F583" i="1"/>
  <c r="F594" i="1"/>
  <c r="F585" i="1"/>
  <c r="F596" i="1"/>
  <c r="P577" i="1" l="1"/>
  <c r="Q577" i="1" s="1"/>
  <c r="H577" i="1"/>
  <c r="I577" i="1" s="1"/>
  <c r="V577" i="1"/>
  <c r="W577" i="1" s="1"/>
  <c r="N577" i="1"/>
  <c r="O577" i="1" s="1"/>
  <c r="T577" i="1"/>
  <c r="U577" i="1" s="1"/>
  <c r="L577" i="1"/>
  <c r="M577" i="1" s="1"/>
  <c r="J577" i="1"/>
  <c r="K577" i="1" s="1"/>
  <c r="R577" i="1"/>
  <c r="S577" i="1" s="1"/>
  <c r="H600" i="1"/>
  <c r="I600" i="1" s="1"/>
  <c r="L600" i="1"/>
  <c r="M600" i="1" s="1"/>
  <c r="P600" i="1"/>
  <c r="Q600" i="1" s="1"/>
  <c r="T600" i="1"/>
  <c r="U600" i="1" s="1"/>
  <c r="N600" i="1"/>
  <c r="O600" i="1" s="1"/>
  <c r="V600" i="1"/>
  <c r="W600" i="1" s="1"/>
  <c r="J600" i="1"/>
  <c r="K600" i="1" s="1"/>
  <c r="R600" i="1"/>
  <c r="S600" i="1" s="1"/>
  <c r="P575" i="1"/>
  <c r="Q575" i="1" s="1"/>
  <c r="H575" i="1"/>
  <c r="I575" i="1" s="1"/>
  <c r="V575" i="1"/>
  <c r="W575" i="1" s="1"/>
  <c r="N575" i="1"/>
  <c r="O575" i="1" s="1"/>
  <c r="T575" i="1"/>
  <c r="U575" i="1" s="1"/>
  <c r="R575" i="1"/>
  <c r="S575" i="1" s="1"/>
  <c r="L575" i="1"/>
  <c r="M575" i="1" s="1"/>
  <c r="J575" i="1"/>
  <c r="K575" i="1" s="1"/>
  <c r="H594" i="1"/>
  <c r="I594" i="1" s="1"/>
  <c r="L594" i="1"/>
  <c r="M594" i="1" s="1"/>
  <c r="P594" i="1"/>
  <c r="Q594" i="1" s="1"/>
  <c r="T594" i="1"/>
  <c r="U594" i="1" s="1"/>
  <c r="N594" i="1"/>
  <c r="O594" i="1" s="1"/>
  <c r="V594" i="1"/>
  <c r="W594" i="1" s="1"/>
  <c r="J594" i="1"/>
  <c r="K594" i="1" s="1"/>
  <c r="R594" i="1"/>
  <c r="S594" i="1" s="1"/>
  <c r="P581" i="1"/>
  <c r="Q581" i="1" s="1"/>
  <c r="H581" i="1"/>
  <c r="I581" i="1" s="1"/>
  <c r="V581" i="1"/>
  <c r="W581" i="1" s="1"/>
  <c r="N581" i="1"/>
  <c r="O581" i="1" s="1"/>
  <c r="T581" i="1"/>
  <c r="U581" i="1" s="1"/>
  <c r="L581" i="1"/>
  <c r="M581" i="1" s="1"/>
  <c r="J581" i="1"/>
  <c r="K581" i="1" s="1"/>
  <c r="R581" i="1"/>
  <c r="S581" i="1" s="1"/>
  <c r="H596" i="1"/>
  <c r="I596" i="1" s="1"/>
  <c r="L596" i="1"/>
  <c r="M596" i="1" s="1"/>
  <c r="P596" i="1"/>
  <c r="Q596" i="1" s="1"/>
  <c r="T596" i="1"/>
  <c r="U596" i="1" s="1"/>
  <c r="N596" i="1"/>
  <c r="O596" i="1" s="1"/>
  <c r="V596" i="1"/>
  <c r="W596" i="1" s="1"/>
  <c r="J596" i="1"/>
  <c r="K596" i="1" s="1"/>
  <c r="R596" i="1"/>
  <c r="S596" i="1" s="1"/>
  <c r="H584" i="1"/>
  <c r="I584" i="1" s="1"/>
  <c r="L584" i="1"/>
  <c r="M584" i="1" s="1"/>
  <c r="P584" i="1"/>
  <c r="Q584" i="1" s="1"/>
  <c r="T584" i="1"/>
  <c r="U584" i="1" s="1"/>
  <c r="J584" i="1"/>
  <c r="K584" i="1" s="1"/>
  <c r="R584" i="1"/>
  <c r="S584" i="1" s="1"/>
  <c r="V584" i="1"/>
  <c r="W584" i="1" s="1"/>
  <c r="N584" i="1"/>
  <c r="O584" i="1" s="1"/>
  <c r="H585" i="1"/>
  <c r="I585" i="1" s="1"/>
  <c r="L585" i="1"/>
  <c r="M585" i="1" s="1"/>
  <c r="P585" i="1"/>
  <c r="Q585" i="1" s="1"/>
  <c r="T585" i="1"/>
  <c r="U585" i="1" s="1"/>
  <c r="J585" i="1"/>
  <c r="K585" i="1" s="1"/>
  <c r="R585" i="1"/>
  <c r="S585" i="1" s="1"/>
  <c r="V585" i="1"/>
  <c r="W585" i="1" s="1"/>
  <c r="N585" i="1"/>
  <c r="O585" i="1" s="1"/>
  <c r="P583" i="1"/>
  <c r="Q583" i="1" s="1"/>
  <c r="H583" i="1"/>
  <c r="I583" i="1" s="1"/>
  <c r="V583" i="1"/>
  <c r="W583" i="1" s="1"/>
  <c r="N583" i="1"/>
  <c r="O583" i="1" s="1"/>
  <c r="T583" i="1"/>
  <c r="U583" i="1" s="1"/>
  <c r="L583" i="1"/>
  <c r="M583" i="1" s="1"/>
  <c r="J583" i="1"/>
  <c r="K583" i="1" s="1"/>
  <c r="R583" i="1"/>
  <c r="S583" i="1" s="1"/>
  <c r="G600" i="1"/>
  <c r="G585" i="1"/>
  <c r="G581" i="1"/>
  <c r="G577" i="1"/>
  <c r="G596" i="1" l="1"/>
  <c r="F315" i="1" l="1"/>
  <c r="F297" i="1"/>
  <c r="F292" i="1"/>
  <c r="F283" i="1"/>
  <c r="F287" i="1"/>
  <c r="F248" i="1"/>
  <c r="F279" i="1"/>
  <c r="F270" i="1"/>
  <c r="F269" i="1"/>
  <c r="F261" i="1"/>
  <c r="F260" i="1"/>
  <c r="F251" i="1"/>
  <c r="F593" i="1"/>
  <c r="F232" i="1"/>
  <c r="F198" i="1"/>
  <c r="F165" i="1"/>
  <c r="F164" i="1"/>
  <c r="F163" i="1"/>
  <c r="F562" i="1"/>
  <c r="H593" i="1" l="1"/>
  <c r="I593" i="1" s="1"/>
  <c r="L593" i="1"/>
  <c r="M593" i="1" s="1"/>
  <c r="P593" i="1"/>
  <c r="Q593" i="1" s="1"/>
  <c r="T593" i="1"/>
  <c r="U593" i="1" s="1"/>
  <c r="N593" i="1"/>
  <c r="O593" i="1" s="1"/>
  <c r="V593" i="1"/>
  <c r="W593" i="1" s="1"/>
  <c r="R593" i="1"/>
  <c r="S593" i="1" s="1"/>
  <c r="J593" i="1"/>
  <c r="K593" i="1" s="1"/>
  <c r="N269" i="1"/>
  <c r="O269" i="1" s="1"/>
  <c r="R269" i="1"/>
  <c r="S269" i="1" s="1"/>
  <c r="V269" i="1"/>
  <c r="W269" i="1" s="1"/>
  <c r="H269" i="1"/>
  <c r="I269" i="1" s="1"/>
  <c r="J269" i="1"/>
  <c r="K269" i="1" s="1"/>
  <c r="L269" i="1"/>
  <c r="M269" i="1" s="1"/>
  <c r="P269" i="1"/>
  <c r="Q269" i="1" s="1"/>
  <c r="T269" i="1"/>
  <c r="U269" i="1" s="1"/>
  <c r="R270" i="1"/>
  <c r="S270" i="1" s="1"/>
  <c r="T270" i="1"/>
  <c r="U270" i="1" s="1"/>
  <c r="V270" i="1"/>
  <c r="W270" i="1" s="1"/>
  <c r="H270" i="1"/>
  <c r="I270" i="1" s="1"/>
  <c r="J270" i="1"/>
  <c r="K270" i="1" s="1"/>
  <c r="L270" i="1"/>
  <c r="M270" i="1" s="1"/>
  <c r="N270" i="1"/>
  <c r="O270" i="1" s="1"/>
  <c r="P270" i="1"/>
  <c r="Q270" i="1" s="1"/>
  <c r="L198" i="1"/>
  <c r="M198" i="1" s="1"/>
  <c r="V198" i="1"/>
  <c r="W198" i="1" s="1"/>
  <c r="T198" i="1"/>
  <c r="U198" i="1" s="1"/>
  <c r="R198" i="1"/>
  <c r="S198" i="1" s="1"/>
  <c r="P198" i="1"/>
  <c r="Q198" i="1" s="1"/>
  <c r="N198" i="1"/>
  <c r="O198" i="1" s="1"/>
  <c r="R163" i="1"/>
  <c r="S163" i="1" s="1"/>
  <c r="N163" i="1"/>
  <c r="O163" i="1" s="1"/>
  <c r="P163" i="1"/>
  <c r="Q163" i="1" s="1"/>
  <c r="T163" i="1"/>
  <c r="U163" i="1" s="1"/>
  <c r="L163" i="1"/>
  <c r="M163" i="1" s="1"/>
  <c r="J163" i="1"/>
  <c r="K163" i="1" s="1"/>
  <c r="V163" i="1"/>
  <c r="W163" i="1" s="1"/>
  <c r="J287" i="1"/>
  <c r="K287" i="1" s="1"/>
  <c r="L287" i="1"/>
  <c r="M287" i="1" s="1"/>
  <c r="P287" i="1"/>
  <c r="Q287" i="1" s="1"/>
  <c r="R287" i="1"/>
  <c r="S287" i="1" s="1"/>
  <c r="T287" i="1"/>
  <c r="U287" i="1" s="1"/>
  <c r="H287" i="1"/>
  <c r="I287" i="1" s="1"/>
  <c r="N287" i="1"/>
  <c r="O287" i="1" s="1"/>
  <c r="V287" i="1"/>
  <c r="W287" i="1" s="1"/>
  <c r="H292" i="1"/>
  <c r="I292" i="1" s="1"/>
  <c r="V292" i="1"/>
  <c r="W292" i="1" s="1"/>
  <c r="T292" i="1"/>
  <c r="U292" i="1" s="1"/>
  <c r="R292" i="1"/>
  <c r="S292" i="1" s="1"/>
  <c r="P292" i="1"/>
  <c r="Q292" i="1" s="1"/>
  <c r="N292" i="1"/>
  <c r="O292" i="1" s="1"/>
  <c r="L292" i="1"/>
  <c r="M292" i="1" s="1"/>
  <c r="J292" i="1"/>
  <c r="K292" i="1" s="1"/>
  <c r="R261" i="1"/>
  <c r="S261" i="1" s="1"/>
  <c r="T261" i="1"/>
  <c r="U261" i="1" s="1"/>
  <c r="V261" i="1"/>
  <c r="W261" i="1" s="1"/>
  <c r="H261" i="1"/>
  <c r="I261" i="1" s="1"/>
  <c r="J261" i="1"/>
  <c r="K261" i="1" s="1"/>
  <c r="L261" i="1"/>
  <c r="M261" i="1" s="1"/>
  <c r="P261" i="1"/>
  <c r="Q261" i="1" s="1"/>
  <c r="N261" i="1"/>
  <c r="O261" i="1" s="1"/>
  <c r="T562" i="1"/>
  <c r="J562" i="1"/>
  <c r="K562" i="1" s="1"/>
  <c r="V562" i="1"/>
  <c r="W562" i="1" s="1"/>
  <c r="N562" i="1"/>
  <c r="O562" i="1" s="1"/>
  <c r="P562" i="1"/>
  <c r="Q562" i="1" s="1"/>
  <c r="L562" i="1"/>
  <c r="M562" i="1" s="1"/>
  <c r="R562" i="1"/>
  <c r="S562" i="1" s="1"/>
  <c r="J248" i="1"/>
  <c r="K248" i="1" s="1"/>
  <c r="L248" i="1"/>
  <c r="M248" i="1" s="1"/>
  <c r="N248" i="1"/>
  <c r="O248" i="1" s="1"/>
  <c r="P248" i="1"/>
  <c r="Q248" i="1" s="1"/>
  <c r="R248" i="1"/>
  <c r="S248" i="1" s="1"/>
  <c r="T248" i="1"/>
  <c r="U248" i="1" s="1"/>
  <c r="V248" i="1"/>
  <c r="W248" i="1" s="1"/>
  <c r="H248" i="1"/>
  <c r="I248" i="1" s="1"/>
  <c r="H283" i="1"/>
  <c r="I283" i="1" s="1"/>
  <c r="J283" i="1"/>
  <c r="K283" i="1" s="1"/>
  <c r="L283" i="1"/>
  <c r="M283" i="1" s="1"/>
  <c r="N283" i="1"/>
  <c r="O283" i="1" s="1"/>
  <c r="P283" i="1"/>
  <c r="Q283" i="1" s="1"/>
  <c r="R283" i="1"/>
  <c r="S283" i="1" s="1"/>
  <c r="V283" i="1"/>
  <c r="W283" i="1" s="1"/>
  <c r="T283" i="1"/>
  <c r="U283" i="1" s="1"/>
  <c r="T297" i="1"/>
  <c r="U297" i="1" s="1"/>
  <c r="R297" i="1"/>
  <c r="S297" i="1" s="1"/>
  <c r="P297" i="1"/>
  <c r="Q297" i="1" s="1"/>
  <c r="N297" i="1"/>
  <c r="O297" i="1" s="1"/>
  <c r="L297" i="1"/>
  <c r="M297" i="1" s="1"/>
  <c r="J297" i="1"/>
  <c r="K297" i="1" s="1"/>
  <c r="H297" i="1"/>
  <c r="I297" i="1" s="1"/>
  <c r="V297" i="1"/>
  <c r="W297" i="1" s="1"/>
  <c r="N260" i="1"/>
  <c r="O260" i="1" s="1"/>
  <c r="R260" i="1"/>
  <c r="S260" i="1" s="1"/>
  <c r="V260" i="1"/>
  <c r="W260" i="1" s="1"/>
  <c r="H260" i="1"/>
  <c r="I260" i="1" s="1"/>
  <c r="J260" i="1"/>
  <c r="K260" i="1" s="1"/>
  <c r="L260" i="1"/>
  <c r="M260" i="1" s="1"/>
  <c r="P260" i="1"/>
  <c r="Q260" i="1" s="1"/>
  <c r="T260" i="1"/>
  <c r="U260" i="1" s="1"/>
  <c r="H279" i="1"/>
  <c r="I279" i="1" s="1"/>
  <c r="V279" i="1"/>
  <c r="W279" i="1" s="1"/>
  <c r="J279" i="1"/>
  <c r="K279" i="1" s="1"/>
  <c r="L279" i="1"/>
  <c r="M279" i="1" s="1"/>
  <c r="N279" i="1"/>
  <c r="O279" i="1" s="1"/>
  <c r="P279" i="1"/>
  <c r="Q279" i="1" s="1"/>
  <c r="R279" i="1"/>
  <c r="S279" i="1" s="1"/>
  <c r="T279" i="1"/>
  <c r="U279" i="1" s="1"/>
  <c r="J164" i="1"/>
  <c r="K164" i="1" s="1"/>
  <c r="H164" i="1"/>
  <c r="V164" i="1"/>
  <c r="W164" i="1" s="1"/>
  <c r="T164" i="1"/>
  <c r="U164" i="1" s="1"/>
  <c r="R164" i="1"/>
  <c r="S164" i="1" s="1"/>
  <c r="L164" i="1"/>
  <c r="M164" i="1" s="1"/>
  <c r="P164" i="1"/>
  <c r="Q164" i="1" s="1"/>
  <c r="N164" i="1"/>
  <c r="O164" i="1" s="1"/>
  <c r="L165" i="1"/>
  <c r="M165" i="1" s="1"/>
  <c r="N165" i="1"/>
  <c r="O165" i="1" s="1"/>
  <c r="J165" i="1"/>
  <c r="K165" i="1" s="1"/>
  <c r="J173" i="1"/>
  <c r="K173" i="1" s="1"/>
  <c r="T173" i="1"/>
  <c r="U173" i="1" s="1"/>
  <c r="H173" i="1"/>
  <c r="I173" i="1" s="1"/>
  <c r="V173" i="1"/>
  <c r="W173" i="1" s="1"/>
  <c r="R173" i="1"/>
  <c r="S173" i="1" s="1"/>
  <c r="N173" i="1"/>
  <c r="O173" i="1" s="1"/>
  <c r="L173" i="1"/>
  <c r="M173" i="1" s="1"/>
  <c r="P173" i="1"/>
  <c r="Q173" i="1" s="1"/>
  <c r="T291" i="1"/>
  <c r="U291" i="1" s="1"/>
  <c r="R291" i="1"/>
  <c r="S291" i="1" s="1"/>
  <c r="P291" i="1"/>
  <c r="Q291" i="1" s="1"/>
  <c r="N291" i="1"/>
  <c r="O291" i="1" s="1"/>
  <c r="L291" i="1"/>
  <c r="M291" i="1" s="1"/>
  <c r="J291" i="1"/>
  <c r="K291" i="1" s="1"/>
  <c r="H291" i="1"/>
  <c r="I291" i="1" s="1"/>
  <c r="V291" i="1"/>
  <c r="W291" i="1" s="1"/>
  <c r="R232" i="1"/>
  <c r="S232" i="1" s="1"/>
  <c r="P232" i="1"/>
  <c r="Q232" i="1" s="1"/>
  <c r="N232" i="1"/>
  <c r="O232" i="1" s="1"/>
  <c r="L232" i="1"/>
  <c r="M232" i="1" s="1"/>
  <c r="J232" i="1"/>
  <c r="K232" i="1" s="1"/>
  <c r="V232" i="1"/>
  <c r="W232" i="1" s="1"/>
  <c r="T232" i="1"/>
  <c r="U232" i="1" s="1"/>
  <c r="N251" i="1"/>
  <c r="O251" i="1" s="1"/>
  <c r="R251" i="1"/>
  <c r="S251" i="1" s="1"/>
  <c r="V251" i="1"/>
  <c r="W251" i="1" s="1"/>
  <c r="H251" i="1"/>
  <c r="I251" i="1" s="1"/>
  <c r="J251" i="1"/>
  <c r="K251" i="1" s="1"/>
  <c r="P251" i="1"/>
  <c r="Q251" i="1" s="1"/>
  <c r="T251" i="1"/>
  <c r="U251" i="1" s="1"/>
  <c r="L251" i="1"/>
  <c r="M251" i="1" s="1"/>
  <c r="P315" i="1"/>
  <c r="Q315" i="1" s="1"/>
  <c r="N315" i="1"/>
  <c r="O315" i="1" s="1"/>
  <c r="L315" i="1"/>
  <c r="M315" i="1" s="1"/>
  <c r="J315" i="1"/>
  <c r="K315" i="1" s="1"/>
  <c r="H315" i="1"/>
  <c r="I315" i="1" s="1"/>
  <c r="V315" i="1"/>
  <c r="W315" i="1" s="1"/>
  <c r="R315" i="1"/>
  <c r="S315" i="1" s="1"/>
  <c r="T315" i="1"/>
  <c r="U315" i="1" s="1"/>
  <c r="U562" i="1"/>
  <c r="G287" i="1"/>
  <c r="G248" i="1"/>
  <c r="G562" i="1"/>
  <c r="G383" i="1" l="1"/>
  <c r="F567" i="1" l="1"/>
  <c r="H567" i="1" l="1"/>
  <c r="T567" i="1"/>
  <c r="U567" i="1" s="1"/>
  <c r="L567" i="1"/>
  <c r="M567" i="1" s="1"/>
  <c r="R567" i="1"/>
  <c r="S567" i="1" s="1"/>
  <c r="J567" i="1"/>
  <c r="K567" i="1" s="1"/>
  <c r="N567" i="1"/>
  <c r="O567" i="1" s="1"/>
  <c r="V567" i="1"/>
  <c r="W567" i="1" s="1"/>
  <c r="P567" i="1"/>
  <c r="Q567" i="1" s="1"/>
  <c r="F698" i="1"/>
  <c r="W627" i="1"/>
  <c r="U627" i="1"/>
  <c r="S627" i="1"/>
  <c r="Q627" i="1"/>
  <c r="O627" i="1"/>
  <c r="M627" i="1"/>
  <c r="K627" i="1"/>
  <c r="N698" i="1" l="1"/>
  <c r="O698" i="1" s="1"/>
  <c r="P698" i="1"/>
  <c r="Q698" i="1" s="1"/>
  <c r="T698" i="1"/>
  <c r="U698" i="1" s="1"/>
  <c r="L698" i="1"/>
  <c r="M698" i="1" s="1"/>
  <c r="R698" i="1"/>
  <c r="S698" i="1" s="1"/>
  <c r="J698" i="1"/>
  <c r="K698" i="1" s="1"/>
  <c r="G313" i="1"/>
  <c r="W325" i="1"/>
  <c r="U325" i="1"/>
  <c r="S325" i="1"/>
  <c r="Q325" i="1"/>
  <c r="O325" i="1"/>
  <c r="M325" i="1"/>
  <c r="K325" i="1"/>
  <c r="I325" i="1"/>
  <c r="W288" i="1"/>
  <c r="U288" i="1"/>
  <c r="S288" i="1"/>
  <c r="Q288" i="1"/>
  <c r="O288" i="1"/>
  <c r="M288" i="1"/>
  <c r="K288" i="1"/>
  <c r="O228" i="1"/>
  <c r="M228" i="1"/>
  <c r="K228" i="1"/>
  <c r="W194" i="1"/>
  <c r="U194" i="1"/>
  <c r="S194" i="1"/>
  <c r="O194" i="1"/>
  <c r="M194" i="1"/>
  <c r="W193" i="1"/>
  <c r="U193" i="1"/>
  <c r="S193" i="1"/>
  <c r="O193" i="1"/>
  <c r="M193" i="1"/>
  <c r="W192" i="1"/>
  <c r="U192" i="1"/>
  <c r="S192" i="1"/>
  <c r="O192" i="1"/>
  <c r="M192" i="1"/>
  <c r="W191" i="1"/>
  <c r="U191" i="1"/>
  <c r="S191" i="1"/>
  <c r="O191" i="1"/>
  <c r="M191" i="1"/>
  <c r="T321" i="1" l="1"/>
  <c r="U321" i="1" s="1"/>
  <c r="R321" i="1"/>
  <c r="S321" i="1" s="1"/>
  <c r="P321" i="1"/>
  <c r="Q321" i="1" s="1"/>
  <c r="N321" i="1"/>
  <c r="O321" i="1" s="1"/>
  <c r="L321" i="1"/>
  <c r="M321" i="1" s="1"/>
  <c r="J321" i="1"/>
  <c r="K321" i="1" s="1"/>
  <c r="H321" i="1"/>
  <c r="I321" i="1" s="1"/>
  <c r="V321" i="1"/>
  <c r="W321" i="1" s="1"/>
  <c r="G321" i="1"/>
  <c r="F491" i="1" l="1"/>
  <c r="F161" i="1"/>
  <c r="P161" i="1" l="1"/>
  <c r="Q161" i="1" s="1"/>
  <c r="N161" i="1"/>
  <c r="O161" i="1" s="1"/>
  <c r="L161" i="1"/>
  <c r="M161" i="1" s="1"/>
  <c r="R161" i="1"/>
  <c r="S161" i="1" s="1"/>
  <c r="V161" i="1"/>
  <c r="W161" i="1" s="1"/>
  <c r="T161" i="1"/>
  <c r="U161" i="1" s="1"/>
  <c r="V491" i="1"/>
  <c r="W491" i="1" s="1"/>
  <c r="T491" i="1"/>
  <c r="U491" i="1" s="1"/>
  <c r="P491" i="1"/>
  <c r="Q491" i="1" s="1"/>
  <c r="J491" i="1"/>
  <c r="K491" i="1" s="1"/>
  <c r="L491" i="1"/>
  <c r="M491" i="1" s="1"/>
  <c r="N491" i="1"/>
  <c r="O491" i="1" s="1"/>
  <c r="H491" i="1"/>
  <c r="I491" i="1" s="1"/>
  <c r="R491" i="1"/>
  <c r="S491" i="1" s="1"/>
  <c r="G416" i="1"/>
  <c r="F516" i="1" l="1"/>
  <c r="F515" i="1"/>
  <c r="V515" i="1" l="1"/>
  <c r="P515" i="1"/>
  <c r="T515" i="1"/>
  <c r="R515" i="1"/>
  <c r="H515" i="1"/>
  <c r="N515" i="1"/>
  <c r="J515" i="1"/>
  <c r="L515" i="1"/>
  <c r="T516" i="1"/>
  <c r="U516" i="1" s="1"/>
  <c r="L516" i="1"/>
  <c r="M516" i="1" s="1"/>
  <c r="R516" i="1"/>
  <c r="S516" i="1" s="1"/>
  <c r="J516" i="1"/>
  <c r="K516" i="1" s="1"/>
  <c r="H516" i="1"/>
  <c r="I516" i="1" s="1"/>
  <c r="V516" i="1"/>
  <c r="W516" i="1" s="1"/>
  <c r="P516" i="1"/>
  <c r="Q516" i="1" s="1"/>
  <c r="N516" i="1"/>
  <c r="O516" i="1" s="1"/>
  <c r="G576" i="1" l="1"/>
  <c r="F566" i="1"/>
  <c r="T566" i="1" l="1"/>
  <c r="U566" i="1" s="1"/>
  <c r="N566" i="1"/>
  <c r="O566" i="1" s="1"/>
  <c r="P566" i="1"/>
  <c r="Q566" i="1" s="1"/>
  <c r="V566" i="1"/>
  <c r="W566" i="1" s="1"/>
  <c r="L566" i="1"/>
  <c r="M566" i="1" s="1"/>
  <c r="R566" i="1"/>
  <c r="S566" i="1" s="1"/>
  <c r="G566" i="1"/>
  <c r="G565" i="1"/>
  <c r="G564" i="1"/>
  <c r="W485" i="1"/>
  <c r="U485" i="1"/>
  <c r="S485" i="1"/>
  <c r="Q485" i="1"/>
  <c r="O485" i="1"/>
  <c r="W484" i="1"/>
  <c r="U484" i="1"/>
  <c r="S484" i="1"/>
  <c r="Q484" i="1"/>
  <c r="O484" i="1"/>
  <c r="W473" i="1"/>
  <c r="U473" i="1"/>
  <c r="S473" i="1"/>
  <c r="Q473" i="1"/>
  <c r="O473" i="1"/>
  <c r="W472" i="1"/>
  <c r="U472" i="1"/>
  <c r="S472" i="1"/>
  <c r="Q472" i="1"/>
  <c r="O472" i="1"/>
  <c r="F582" i="1"/>
  <c r="P582" i="1" l="1"/>
  <c r="Q582" i="1" s="1"/>
  <c r="H582" i="1"/>
  <c r="I582" i="1" s="1"/>
  <c r="V582" i="1"/>
  <c r="W582" i="1" s="1"/>
  <c r="N582" i="1"/>
  <c r="O582" i="1" s="1"/>
  <c r="T582" i="1"/>
  <c r="U582" i="1" s="1"/>
  <c r="R582" i="1"/>
  <c r="S582" i="1" s="1"/>
  <c r="L582" i="1"/>
  <c r="M582" i="1" s="1"/>
  <c r="J582" i="1"/>
  <c r="K582" i="1" s="1"/>
  <c r="G582" i="1"/>
  <c r="F655" i="1" l="1"/>
  <c r="F671" i="1"/>
  <c r="V671" i="1" l="1"/>
  <c r="N671" i="1"/>
  <c r="T671" i="1"/>
  <c r="L671" i="1"/>
  <c r="R671" i="1"/>
  <c r="J671" i="1"/>
  <c r="P671" i="1"/>
  <c r="H671" i="1"/>
  <c r="I671" i="1" s="1"/>
  <c r="T655" i="1"/>
  <c r="U655" i="1" s="1"/>
  <c r="J655" i="1"/>
  <c r="K655" i="1" s="1"/>
  <c r="R655" i="1"/>
  <c r="S655" i="1" s="1"/>
  <c r="V655" i="1"/>
  <c r="W655" i="1" s="1"/>
  <c r="N655" i="1"/>
  <c r="O655" i="1" s="1"/>
  <c r="H655" i="1"/>
  <c r="I655" i="1" s="1"/>
  <c r="L655" i="1"/>
  <c r="M655" i="1" s="1"/>
  <c r="P655" i="1"/>
  <c r="Q655" i="1" s="1"/>
  <c r="F403" i="1"/>
  <c r="F253" i="1"/>
  <c r="F281" i="1"/>
  <c r="F460" i="1"/>
  <c r="F649" i="1"/>
  <c r="G162" i="1"/>
  <c r="V673" i="1" l="1"/>
  <c r="N673" i="1"/>
  <c r="T673" i="1"/>
  <c r="U673" i="1" s="1"/>
  <c r="L673" i="1"/>
  <c r="M673" i="1" s="1"/>
  <c r="R673" i="1"/>
  <c r="S673" i="1" s="1"/>
  <c r="J673" i="1"/>
  <c r="K673" i="1" s="1"/>
  <c r="P673" i="1"/>
  <c r="Q673" i="1" s="1"/>
  <c r="H673" i="1"/>
  <c r="I673" i="1" s="1"/>
  <c r="P460" i="1"/>
  <c r="Q460" i="1" s="1"/>
  <c r="H460" i="1"/>
  <c r="I460" i="1" s="1"/>
  <c r="V460" i="1"/>
  <c r="W460" i="1" s="1"/>
  <c r="N460" i="1"/>
  <c r="O460" i="1" s="1"/>
  <c r="T460" i="1"/>
  <c r="U460" i="1" s="1"/>
  <c r="L460" i="1"/>
  <c r="M460" i="1" s="1"/>
  <c r="R460" i="1"/>
  <c r="S460" i="1" s="1"/>
  <c r="J460" i="1"/>
  <c r="K460" i="1" s="1"/>
  <c r="R649" i="1"/>
  <c r="S649" i="1" s="1"/>
  <c r="J649" i="1"/>
  <c r="V649" i="1"/>
  <c r="W649" i="1" s="1"/>
  <c r="T649" i="1"/>
  <c r="U649" i="1" s="1"/>
  <c r="P649" i="1"/>
  <c r="Q649" i="1" s="1"/>
  <c r="N649" i="1"/>
  <c r="O649" i="1" s="1"/>
  <c r="L649" i="1"/>
  <c r="V403" i="1"/>
  <c r="W403" i="1" s="1"/>
  <c r="T403" i="1"/>
  <c r="U403" i="1" s="1"/>
  <c r="R403" i="1"/>
  <c r="S403" i="1" s="1"/>
  <c r="N403" i="1"/>
  <c r="O403" i="1" s="1"/>
  <c r="P403" i="1"/>
  <c r="Q403" i="1" s="1"/>
  <c r="L403" i="1"/>
  <c r="M403" i="1" s="1"/>
  <c r="N281" i="1"/>
  <c r="O281" i="1" s="1"/>
  <c r="P281" i="1"/>
  <c r="Q281" i="1" s="1"/>
  <c r="R281" i="1"/>
  <c r="S281" i="1" s="1"/>
  <c r="T281" i="1"/>
  <c r="U281" i="1" s="1"/>
  <c r="H281" i="1"/>
  <c r="I281" i="1" s="1"/>
  <c r="V281" i="1"/>
  <c r="W281" i="1" s="1"/>
  <c r="J281" i="1"/>
  <c r="K281" i="1" s="1"/>
  <c r="L281" i="1"/>
  <c r="M281" i="1" s="1"/>
  <c r="R253" i="1"/>
  <c r="S253" i="1" s="1"/>
  <c r="V253" i="1"/>
  <c r="W253" i="1" s="1"/>
  <c r="H253" i="1"/>
  <c r="I253" i="1" s="1"/>
  <c r="J253" i="1"/>
  <c r="K253" i="1" s="1"/>
  <c r="L253" i="1"/>
  <c r="M253" i="1" s="1"/>
  <c r="N253" i="1"/>
  <c r="O253" i="1" s="1"/>
  <c r="P253" i="1"/>
  <c r="Q253" i="1" s="1"/>
  <c r="T253" i="1"/>
  <c r="U253" i="1" s="1"/>
  <c r="K649" i="1"/>
  <c r="M649" i="1"/>
  <c r="W673" i="1"/>
  <c r="O673" i="1"/>
  <c r="G402" i="1"/>
  <c r="G403" i="1"/>
  <c r="G253" i="1"/>
  <c r="G673" i="1"/>
  <c r="G649" i="1"/>
  <c r="G131" i="1"/>
  <c r="K131" i="1"/>
  <c r="G309" i="1" l="1"/>
  <c r="V271" i="1" l="1"/>
  <c r="W271" i="1" s="1"/>
  <c r="H271" i="1"/>
  <c r="I271" i="1" s="1"/>
  <c r="J271" i="1"/>
  <c r="K271" i="1" s="1"/>
  <c r="L271" i="1"/>
  <c r="M271" i="1" s="1"/>
  <c r="N271" i="1"/>
  <c r="O271" i="1" s="1"/>
  <c r="R271" i="1"/>
  <c r="S271" i="1" s="1"/>
  <c r="T271" i="1"/>
  <c r="U271" i="1" s="1"/>
  <c r="P271" i="1"/>
  <c r="Q271" i="1" s="1"/>
  <c r="G271" i="1"/>
  <c r="G291" i="1"/>
  <c r="G261" i="1" l="1"/>
  <c r="F615" i="1"/>
  <c r="L615" i="1" l="1"/>
  <c r="M615" i="1" s="1"/>
  <c r="R615" i="1"/>
  <c r="S615" i="1" s="1"/>
  <c r="H615" i="1"/>
  <c r="I615" i="1" s="1"/>
  <c r="N615" i="1"/>
  <c r="O615" i="1" s="1"/>
  <c r="V615" i="1"/>
  <c r="W615" i="1" s="1"/>
  <c r="P615" i="1"/>
  <c r="Q615" i="1" s="1"/>
  <c r="J615" i="1"/>
  <c r="K615" i="1" s="1"/>
  <c r="T615" i="1"/>
  <c r="U615" i="1" s="1"/>
  <c r="G615" i="1"/>
  <c r="F299" i="1" l="1"/>
  <c r="R299" i="1" l="1"/>
  <c r="S299" i="1" s="1"/>
  <c r="P299" i="1"/>
  <c r="Q299" i="1" s="1"/>
  <c r="N299" i="1"/>
  <c r="O299" i="1" s="1"/>
  <c r="L299" i="1"/>
  <c r="M299" i="1" s="1"/>
  <c r="J299" i="1"/>
  <c r="K299" i="1" s="1"/>
  <c r="H299" i="1"/>
  <c r="I299" i="1" s="1"/>
  <c r="V299" i="1"/>
  <c r="W299" i="1" s="1"/>
  <c r="T299" i="1"/>
  <c r="U299" i="1" s="1"/>
  <c r="G296" i="1"/>
  <c r="G281" i="1"/>
  <c r="V350" i="1" l="1"/>
  <c r="W350" i="1" s="1"/>
  <c r="L350" i="1"/>
  <c r="M350" i="1" s="1"/>
  <c r="N350" i="1"/>
  <c r="O350" i="1" s="1"/>
  <c r="P350" i="1"/>
  <c r="Q350" i="1" s="1"/>
  <c r="R350" i="1"/>
  <c r="S350" i="1" s="1"/>
  <c r="T350" i="1"/>
  <c r="U350" i="1" s="1"/>
  <c r="L351" i="1"/>
  <c r="M351" i="1" s="1"/>
  <c r="N351" i="1"/>
  <c r="O351" i="1" s="1"/>
  <c r="P351" i="1"/>
  <c r="Q351" i="1" s="1"/>
  <c r="R351" i="1"/>
  <c r="S351" i="1" s="1"/>
  <c r="T351" i="1"/>
  <c r="U351" i="1" s="1"/>
  <c r="V351" i="1"/>
  <c r="W351" i="1" s="1"/>
  <c r="G351" i="1"/>
  <c r="T525" i="1" l="1"/>
  <c r="U525" i="1" s="1"/>
  <c r="L525" i="1"/>
  <c r="M525" i="1" s="1"/>
  <c r="R525" i="1"/>
  <c r="S525" i="1" s="1"/>
  <c r="J525" i="1"/>
  <c r="K525" i="1" s="1"/>
  <c r="P525" i="1"/>
  <c r="Q525" i="1" s="1"/>
  <c r="N525" i="1"/>
  <c r="O525" i="1" s="1"/>
  <c r="V525" i="1"/>
  <c r="W525" i="1" s="1"/>
  <c r="H525" i="1"/>
  <c r="I525" i="1" s="1"/>
  <c r="T526" i="1"/>
  <c r="U526" i="1" s="1"/>
  <c r="L526" i="1"/>
  <c r="M526" i="1" s="1"/>
  <c r="R526" i="1"/>
  <c r="S526" i="1" s="1"/>
  <c r="J526" i="1"/>
  <c r="K526" i="1" s="1"/>
  <c r="P526" i="1"/>
  <c r="Q526" i="1" s="1"/>
  <c r="N526" i="1"/>
  <c r="O526" i="1" s="1"/>
  <c r="H526" i="1"/>
  <c r="I526" i="1" s="1"/>
  <c r="V526" i="1"/>
  <c r="W526" i="1" s="1"/>
  <c r="T527" i="1"/>
  <c r="U527" i="1" s="1"/>
  <c r="L527" i="1"/>
  <c r="M527" i="1" s="1"/>
  <c r="R527" i="1"/>
  <c r="S527" i="1" s="1"/>
  <c r="J527" i="1"/>
  <c r="K527" i="1" s="1"/>
  <c r="P527" i="1"/>
  <c r="Q527" i="1" s="1"/>
  <c r="N527" i="1"/>
  <c r="O527" i="1" s="1"/>
  <c r="H527" i="1"/>
  <c r="I527" i="1" s="1"/>
  <c r="V527" i="1"/>
  <c r="W527" i="1" s="1"/>
  <c r="G366" i="1"/>
  <c r="G692" i="1"/>
  <c r="G691" i="1"/>
  <c r="F322" i="1"/>
  <c r="F650" i="1"/>
  <c r="G505" i="1"/>
  <c r="T650" i="1" l="1"/>
  <c r="U650" i="1" s="1"/>
  <c r="L650" i="1"/>
  <c r="M650" i="1" s="1"/>
  <c r="P650" i="1"/>
  <c r="Q650" i="1" s="1"/>
  <c r="R650" i="1"/>
  <c r="S650" i="1" s="1"/>
  <c r="J650" i="1"/>
  <c r="K650" i="1" s="1"/>
  <c r="H650" i="1"/>
  <c r="I650" i="1" s="1"/>
  <c r="V650" i="1"/>
  <c r="W650" i="1" s="1"/>
  <c r="N650" i="1"/>
  <c r="O650" i="1" s="1"/>
  <c r="V372" i="1"/>
  <c r="W372" i="1" s="1"/>
  <c r="T372" i="1"/>
  <c r="U372" i="1" s="1"/>
  <c r="R372" i="1"/>
  <c r="S372" i="1" s="1"/>
  <c r="P372" i="1"/>
  <c r="Q372" i="1" s="1"/>
  <c r="N372" i="1"/>
  <c r="O372" i="1" s="1"/>
  <c r="L372" i="1"/>
  <c r="M372" i="1" s="1"/>
  <c r="V371" i="1"/>
  <c r="W371" i="1" s="1"/>
  <c r="T371" i="1"/>
  <c r="U371" i="1" s="1"/>
  <c r="R371" i="1"/>
  <c r="S371" i="1" s="1"/>
  <c r="P371" i="1"/>
  <c r="Q371" i="1" s="1"/>
  <c r="N371" i="1"/>
  <c r="O371" i="1" s="1"/>
  <c r="J322" i="1"/>
  <c r="K322" i="1" s="1"/>
  <c r="N322" i="1"/>
  <c r="O322" i="1" s="1"/>
  <c r="P322" i="1"/>
  <c r="Q322" i="1" s="1"/>
  <c r="R322" i="1"/>
  <c r="S322" i="1" s="1"/>
  <c r="T322" i="1"/>
  <c r="U322" i="1" s="1"/>
  <c r="V322" i="1"/>
  <c r="W322" i="1" s="1"/>
  <c r="L322" i="1"/>
  <c r="M322" i="1" s="1"/>
  <c r="H322" i="1"/>
  <c r="I322" i="1" s="1"/>
  <c r="N307" i="1"/>
  <c r="O307" i="1" s="1"/>
  <c r="J307" i="1"/>
  <c r="K307" i="1" s="1"/>
  <c r="H307" i="1"/>
  <c r="I307" i="1" s="1"/>
  <c r="V307" i="1"/>
  <c r="W307" i="1" s="1"/>
  <c r="T307" i="1"/>
  <c r="U307" i="1" s="1"/>
  <c r="R307" i="1"/>
  <c r="S307" i="1" s="1"/>
  <c r="L307" i="1"/>
  <c r="M307" i="1" s="1"/>
  <c r="P307" i="1"/>
  <c r="Q307" i="1" s="1"/>
  <c r="R380" i="1"/>
  <c r="S380" i="1" s="1"/>
  <c r="N380" i="1"/>
  <c r="O380" i="1" s="1"/>
  <c r="L380" i="1"/>
  <c r="M380" i="1" s="1"/>
  <c r="V380" i="1"/>
  <c r="W380" i="1" s="1"/>
  <c r="P380" i="1"/>
  <c r="Q380" i="1" s="1"/>
  <c r="T380" i="1"/>
  <c r="U380" i="1" s="1"/>
  <c r="L375" i="1"/>
  <c r="M375" i="1" s="1"/>
  <c r="V375" i="1"/>
  <c r="W375" i="1" s="1"/>
  <c r="T375" i="1"/>
  <c r="U375" i="1" s="1"/>
  <c r="R375" i="1"/>
  <c r="S375" i="1" s="1"/>
  <c r="N375" i="1"/>
  <c r="O375" i="1" s="1"/>
  <c r="P375" i="1"/>
  <c r="Q375" i="1" s="1"/>
  <c r="G127" i="1" l="1"/>
  <c r="G431" i="1" l="1"/>
  <c r="F328" i="1"/>
  <c r="F684" i="1"/>
  <c r="F648" i="1"/>
  <c r="F608" i="1"/>
  <c r="F607" i="1"/>
  <c r="F606" i="1"/>
  <c r="F601" i="1"/>
  <c r="F598" i="1"/>
  <c r="F572" i="1"/>
  <c r="F528" i="1"/>
  <c r="V684" i="1" l="1"/>
  <c r="W684" i="1" s="1"/>
  <c r="R684" i="1"/>
  <c r="S684" i="1" s="1"/>
  <c r="N684" i="1"/>
  <c r="O684" i="1" s="1"/>
  <c r="T684" i="1"/>
  <c r="U684" i="1" s="1"/>
  <c r="P684" i="1"/>
  <c r="Q684" i="1" s="1"/>
  <c r="L684" i="1"/>
  <c r="M684" i="1" s="1"/>
  <c r="H601" i="1"/>
  <c r="I601" i="1" s="1"/>
  <c r="L601" i="1"/>
  <c r="M601" i="1" s="1"/>
  <c r="P601" i="1"/>
  <c r="Q601" i="1" s="1"/>
  <c r="T601" i="1"/>
  <c r="U601" i="1" s="1"/>
  <c r="J601" i="1"/>
  <c r="K601" i="1" s="1"/>
  <c r="V601" i="1"/>
  <c r="W601" i="1" s="1"/>
  <c r="R601" i="1"/>
  <c r="S601" i="1" s="1"/>
  <c r="N601" i="1"/>
  <c r="O601" i="1" s="1"/>
  <c r="T648" i="1"/>
  <c r="U648" i="1" s="1"/>
  <c r="L648" i="1"/>
  <c r="M648" i="1" s="1"/>
  <c r="P648" i="1"/>
  <c r="Q648" i="1" s="1"/>
  <c r="V648" i="1"/>
  <c r="W648" i="1" s="1"/>
  <c r="R648" i="1"/>
  <c r="S648" i="1" s="1"/>
  <c r="J648" i="1"/>
  <c r="K648" i="1" s="1"/>
  <c r="H648" i="1"/>
  <c r="I648" i="1" s="1"/>
  <c r="N648" i="1"/>
  <c r="O648" i="1" s="1"/>
  <c r="T528" i="1"/>
  <c r="U528" i="1" s="1"/>
  <c r="L528" i="1"/>
  <c r="M528" i="1" s="1"/>
  <c r="R528" i="1"/>
  <c r="S528" i="1" s="1"/>
  <c r="J528" i="1"/>
  <c r="K528" i="1" s="1"/>
  <c r="P528" i="1"/>
  <c r="Q528" i="1" s="1"/>
  <c r="N528" i="1"/>
  <c r="O528" i="1" s="1"/>
  <c r="V528" i="1"/>
  <c r="W528" i="1" s="1"/>
  <c r="H528" i="1"/>
  <c r="I528" i="1" s="1"/>
  <c r="H606" i="1"/>
  <c r="I606" i="1" s="1"/>
  <c r="N606" i="1"/>
  <c r="O606" i="1" s="1"/>
  <c r="R606" i="1"/>
  <c r="S606" i="1" s="1"/>
  <c r="L606" i="1"/>
  <c r="M606" i="1" s="1"/>
  <c r="T606" i="1"/>
  <c r="U606" i="1" s="1"/>
  <c r="V606" i="1"/>
  <c r="W606" i="1" s="1"/>
  <c r="P606" i="1"/>
  <c r="Q606" i="1" s="1"/>
  <c r="J606" i="1"/>
  <c r="K606" i="1" s="1"/>
  <c r="P572" i="1"/>
  <c r="Q572" i="1" s="1"/>
  <c r="H572" i="1"/>
  <c r="I572" i="1" s="1"/>
  <c r="V572" i="1"/>
  <c r="W572" i="1" s="1"/>
  <c r="N572" i="1"/>
  <c r="O572" i="1" s="1"/>
  <c r="T572" i="1"/>
  <c r="U572" i="1" s="1"/>
  <c r="J572" i="1"/>
  <c r="K572" i="1" s="1"/>
  <c r="R572" i="1"/>
  <c r="S572" i="1" s="1"/>
  <c r="L572" i="1"/>
  <c r="M572" i="1" s="1"/>
  <c r="H607" i="1"/>
  <c r="I607" i="1" s="1"/>
  <c r="N607" i="1"/>
  <c r="O607" i="1" s="1"/>
  <c r="J607" i="1"/>
  <c r="K607" i="1" s="1"/>
  <c r="P607" i="1"/>
  <c r="Q607" i="1" s="1"/>
  <c r="R607" i="1"/>
  <c r="S607" i="1" s="1"/>
  <c r="T607" i="1"/>
  <c r="U607" i="1" s="1"/>
  <c r="V607" i="1"/>
  <c r="W607" i="1" s="1"/>
  <c r="L607" i="1"/>
  <c r="M607" i="1" s="1"/>
  <c r="P328" i="1"/>
  <c r="Q328" i="1" s="1"/>
  <c r="V328" i="1"/>
  <c r="W328" i="1" s="1"/>
  <c r="N328" i="1"/>
  <c r="O328" i="1" s="1"/>
  <c r="T328" i="1"/>
  <c r="U328" i="1" s="1"/>
  <c r="L328" i="1"/>
  <c r="M328" i="1" s="1"/>
  <c r="R328" i="1"/>
  <c r="S328" i="1" s="1"/>
  <c r="H598" i="1"/>
  <c r="I598" i="1" s="1"/>
  <c r="L598" i="1"/>
  <c r="M598" i="1" s="1"/>
  <c r="P598" i="1"/>
  <c r="Q598" i="1" s="1"/>
  <c r="T598" i="1"/>
  <c r="U598" i="1" s="1"/>
  <c r="N598" i="1"/>
  <c r="O598" i="1" s="1"/>
  <c r="V598" i="1"/>
  <c r="W598" i="1" s="1"/>
  <c r="J598" i="1"/>
  <c r="K598" i="1" s="1"/>
  <c r="R598" i="1"/>
  <c r="S598" i="1" s="1"/>
  <c r="H608" i="1"/>
  <c r="I608" i="1" s="1"/>
  <c r="N608" i="1"/>
  <c r="O608" i="1" s="1"/>
  <c r="V608" i="1"/>
  <c r="W608" i="1" s="1"/>
  <c r="J608" i="1"/>
  <c r="K608" i="1" s="1"/>
  <c r="P608" i="1"/>
  <c r="Q608" i="1" s="1"/>
  <c r="R608" i="1"/>
  <c r="S608" i="1" s="1"/>
  <c r="L608" i="1"/>
  <c r="M608" i="1" s="1"/>
  <c r="T608" i="1"/>
  <c r="U608" i="1" s="1"/>
  <c r="I101" i="1"/>
  <c r="F553" i="1"/>
  <c r="F552" i="1"/>
  <c r="F441" i="1"/>
  <c r="F413" i="1"/>
  <c r="F336" i="1"/>
  <c r="F335" i="1"/>
  <c r="F334" i="1"/>
  <c r="F339" i="1"/>
  <c r="F341" i="1"/>
  <c r="F343" i="1"/>
  <c r="F355" i="1"/>
  <c r="F338" i="1"/>
  <c r="F337" i="1"/>
  <c r="F345" i="1"/>
  <c r="F356" i="1"/>
  <c r="F388" i="1"/>
  <c r="F393" i="1"/>
  <c r="F405" i="1"/>
  <c r="F406" i="1"/>
  <c r="F358" i="1"/>
  <c r="F361" i="1"/>
  <c r="F364" i="1"/>
  <c r="F367" i="1"/>
  <c r="F386" i="1"/>
  <c r="F385" i="1"/>
  <c r="F354" i="1"/>
  <c r="F352" i="1"/>
  <c r="F326" i="1"/>
  <c r="F218" i="1"/>
  <c r="H218" i="1" s="1"/>
  <c r="V358" i="1" l="1"/>
  <c r="W358" i="1" s="1"/>
  <c r="P358" i="1"/>
  <c r="Q358" i="1" s="1"/>
  <c r="J358" i="1"/>
  <c r="K358" i="1" s="1"/>
  <c r="N358" i="1"/>
  <c r="O358" i="1" s="1"/>
  <c r="R358" i="1"/>
  <c r="S358" i="1" s="1"/>
  <c r="L358" i="1"/>
  <c r="M358" i="1" s="1"/>
  <c r="T358" i="1"/>
  <c r="U358" i="1" s="1"/>
  <c r="H358" i="1"/>
  <c r="I358" i="1" s="1"/>
  <c r="R441" i="1"/>
  <c r="S441" i="1" s="1"/>
  <c r="L441" i="1"/>
  <c r="M441" i="1" s="1"/>
  <c r="N441" i="1"/>
  <c r="O441" i="1" s="1"/>
  <c r="V441" i="1"/>
  <c r="W441" i="1" s="1"/>
  <c r="J441" i="1"/>
  <c r="K441" i="1" s="1"/>
  <c r="T441" i="1"/>
  <c r="U441" i="1" s="1"/>
  <c r="P441" i="1"/>
  <c r="Q441" i="1" s="1"/>
  <c r="H441" i="1"/>
  <c r="I441" i="1" s="1"/>
  <c r="H388" i="1"/>
  <c r="I388" i="1" s="1"/>
  <c r="J388" i="1"/>
  <c r="K388" i="1" s="1"/>
  <c r="L388" i="1"/>
  <c r="M388" i="1" s="1"/>
  <c r="R435" i="1"/>
  <c r="S435" i="1" s="1"/>
  <c r="L435" i="1"/>
  <c r="M435" i="1" s="1"/>
  <c r="P435" i="1"/>
  <c r="Q435" i="1" s="1"/>
  <c r="V435" i="1"/>
  <c r="W435" i="1" s="1"/>
  <c r="J435" i="1"/>
  <c r="K435" i="1" s="1"/>
  <c r="T435" i="1"/>
  <c r="U435" i="1" s="1"/>
  <c r="H435" i="1"/>
  <c r="I435" i="1" s="1"/>
  <c r="N435" i="1"/>
  <c r="O435" i="1" s="1"/>
  <c r="V552" i="1"/>
  <c r="W552" i="1" s="1"/>
  <c r="P552" i="1"/>
  <c r="Q552" i="1" s="1"/>
  <c r="T552" i="1"/>
  <c r="U552" i="1" s="1"/>
  <c r="J552" i="1"/>
  <c r="K552" i="1" s="1"/>
  <c r="H552" i="1"/>
  <c r="I552" i="1" s="1"/>
  <c r="R552" i="1"/>
  <c r="S552" i="1" s="1"/>
  <c r="N552" i="1"/>
  <c r="O552" i="1" s="1"/>
  <c r="L552" i="1"/>
  <c r="M552" i="1" s="1"/>
  <c r="R326" i="1"/>
  <c r="S326" i="1" s="1"/>
  <c r="T326" i="1"/>
  <c r="U326" i="1" s="1"/>
  <c r="J326" i="1"/>
  <c r="K326" i="1" s="1"/>
  <c r="P326" i="1"/>
  <c r="Q326" i="1" s="1"/>
  <c r="H326" i="1"/>
  <c r="I326" i="1" s="1"/>
  <c r="V326" i="1"/>
  <c r="W326" i="1" s="1"/>
  <c r="N326" i="1"/>
  <c r="O326" i="1" s="1"/>
  <c r="L326" i="1"/>
  <c r="M326" i="1" s="1"/>
  <c r="N419" i="1"/>
  <c r="O419" i="1" s="1"/>
  <c r="P419" i="1"/>
  <c r="Q419" i="1" s="1"/>
  <c r="R419" i="1"/>
  <c r="S419" i="1" s="1"/>
  <c r="L419" i="1"/>
  <c r="M419" i="1" s="1"/>
  <c r="V419" i="1"/>
  <c r="W419" i="1" s="1"/>
  <c r="J419" i="1"/>
  <c r="K419" i="1" s="1"/>
  <c r="T419" i="1"/>
  <c r="U419" i="1" s="1"/>
  <c r="H419" i="1"/>
  <c r="I419" i="1" s="1"/>
  <c r="L553" i="1"/>
  <c r="M553" i="1" s="1"/>
  <c r="J553" i="1"/>
  <c r="K553" i="1" s="1"/>
  <c r="H553" i="1"/>
  <c r="I553" i="1" s="1"/>
  <c r="N553" i="1"/>
  <c r="O553" i="1" s="1"/>
  <c r="V364" i="1"/>
  <c r="W364" i="1" s="1"/>
  <c r="R364" i="1"/>
  <c r="S364" i="1" s="1"/>
  <c r="T364" i="1"/>
  <c r="U364" i="1" s="1"/>
  <c r="P364" i="1"/>
  <c r="Q364" i="1" s="1"/>
  <c r="L364" i="1"/>
  <c r="M364" i="1" s="1"/>
  <c r="N364" i="1"/>
  <c r="O364" i="1" s="1"/>
  <c r="N405" i="1"/>
  <c r="O405" i="1" s="1"/>
  <c r="P405" i="1"/>
  <c r="Q405" i="1" s="1"/>
  <c r="R405" i="1"/>
  <c r="S405" i="1" s="1"/>
  <c r="V405" i="1"/>
  <c r="W405" i="1" s="1"/>
  <c r="T405" i="1"/>
  <c r="U405" i="1" s="1"/>
  <c r="L405" i="1"/>
  <c r="M405" i="1" s="1"/>
  <c r="R406" i="1"/>
  <c r="S406" i="1" s="1"/>
  <c r="T406" i="1"/>
  <c r="U406" i="1" s="1"/>
  <c r="V406" i="1"/>
  <c r="W406" i="1" s="1"/>
  <c r="L406" i="1"/>
  <c r="M406" i="1" s="1"/>
  <c r="P406" i="1"/>
  <c r="Q406" i="1" s="1"/>
  <c r="N406" i="1"/>
  <c r="O406" i="1" s="1"/>
  <c r="R393" i="1"/>
  <c r="S393" i="1" s="1"/>
  <c r="V393" i="1"/>
  <c r="W393" i="1" s="1"/>
  <c r="T393" i="1"/>
  <c r="U393" i="1" s="1"/>
  <c r="P393" i="1"/>
  <c r="Q393" i="1" s="1"/>
  <c r="N393" i="1"/>
  <c r="O393" i="1" s="1"/>
  <c r="L393" i="1"/>
  <c r="M393" i="1" s="1"/>
  <c r="T413" i="1"/>
  <c r="U413" i="1" s="1"/>
  <c r="L413" i="1"/>
  <c r="M413" i="1" s="1"/>
  <c r="V413" i="1"/>
  <c r="W413" i="1" s="1"/>
  <c r="N413" i="1"/>
  <c r="O413" i="1" s="1"/>
  <c r="P413" i="1"/>
  <c r="Q413" i="1" s="1"/>
  <c r="R413" i="1"/>
  <c r="S413" i="1" s="1"/>
  <c r="P335" i="1"/>
  <c r="Q335" i="1" s="1"/>
  <c r="L335" i="1"/>
  <c r="M335" i="1" s="1"/>
  <c r="V335" i="1"/>
  <c r="W335" i="1" s="1"/>
  <c r="T335" i="1"/>
  <c r="U335" i="1" s="1"/>
  <c r="R335" i="1"/>
  <c r="S335" i="1" s="1"/>
  <c r="N335" i="1"/>
  <c r="O335" i="1" s="1"/>
  <c r="N354" i="1"/>
  <c r="O354" i="1" s="1"/>
  <c r="R354" i="1"/>
  <c r="S354" i="1" s="1"/>
  <c r="T354" i="1"/>
  <c r="U354" i="1" s="1"/>
  <c r="V354" i="1"/>
  <c r="W354" i="1" s="1"/>
  <c r="L354" i="1"/>
  <c r="M354" i="1" s="1"/>
  <c r="P354" i="1"/>
  <c r="Q354" i="1" s="1"/>
  <c r="V334" i="1"/>
  <c r="W334" i="1" s="1"/>
  <c r="R334" i="1"/>
  <c r="S334" i="1" s="1"/>
  <c r="P334" i="1"/>
  <c r="Q334" i="1" s="1"/>
  <c r="N334" i="1"/>
  <c r="O334" i="1" s="1"/>
  <c r="L334" i="1"/>
  <c r="M334" i="1" s="1"/>
  <c r="T334" i="1"/>
  <c r="U334" i="1" s="1"/>
  <c r="N333" i="1"/>
  <c r="O333" i="1" s="1"/>
  <c r="V333" i="1"/>
  <c r="T333" i="1"/>
  <c r="R333" i="1"/>
  <c r="S333" i="1" s="1"/>
  <c r="P333" i="1"/>
  <c r="Q333" i="1" s="1"/>
  <c r="L333" i="1"/>
  <c r="M333" i="1" s="1"/>
  <c r="V336" i="1"/>
  <c r="W336" i="1" s="1"/>
  <c r="T336" i="1"/>
  <c r="U336" i="1" s="1"/>
  <c r="R336" i="1"/>
  <c r="S336" i="1" s="1"/>
  <c r="P336" i="1"/>
  <c r="Q336" i="1" s="1"/>
  <c r="N336" i="1"/>
  <c r="O336" i="1" s="1"/>
  <c r="L336" i="1"/>
  <c r="M336" i="1" s="1"/>
  <c r="R367" i="1"/>
  <c r="S367" i="1" s="1"/>
  <c r="N367" i="1"/>
  <c r="O367" i="1" s="1"/>
  <c r="L367" i="1"/>
  <c r="M367" i="1" s="1"/>
  <c r="V367" i="1"/>
  <c r="W367" i="1" s="1"/>
  <c r="P367" i="1"/>
  <c r="Q367" i="1" s="1"/>
  <c r="T367" i="1"/>
  <c r="U367" i="1" s="1"/>
  <c r="V337" i="1"/>
  <c r="W337" i="1" s="1"/>
  <c r="T337" i="1"/>
  <c r="U337" i="1" s="1"/>
  <c r="R337" i="1"/>
  <c r="S337" i="1" s="1"/>
  <c r="P337" i="1"/>
  <c r="Q337" i="1" s="1"/>
  <c r="N337" i="1"/>
  <c r="O337" i="1" s="1"/>
  <c r="L337" i="1"/>
  <c r="M337" i="1" s="1"/>
  <c r="V338" i="1"/>
  <c r="W338" i="1" s="1"/>
  <c r="T338" i="1"/>
  <c r="U338" i="1" s="1"/>
  <c r="R338" i="1"/>
  <c r="S338" i="1" s="1"/>
  <c r="P338" i="1"/>
  <c r="Q338" i="1" s="1"/>
  <c r="N338" i="1"/>
  <c r="O338" i="1" s="1"/>
  <c r="L338" i="1"/>
  <c r="M338" i="1" s="1"/>
  <c r="V356" i="1"/>
  <c r="W356" i="1" s="1"/>
  <c r="L356" i="1"/>
  <c r="M356" i="1" s="1"/>
  <c r="N356" i="1"/>
  <c r="O356" i="1" s="1"/>
  <c r="P356" i="1"/>
  <c r="Q356" i="1" s="1"/>
  <c r="T356" i="1"/>
  <c r="U356" i="1" s="1"/>
  <c r="R356" i="1"/>
  <c r="S356" i="1" s="1"/>
  <c r="N345" i="1"/>
  <c r="O345" i="1" s="1"/>
  <c r="V345" i="1"/>
  <c r="W345" i="1" s="1"/>
  <c r="T345" i="1"/>
  <c r="U345" i="1" s="1"/>
  <c r="R345" i="1"/>
  <c r="S345" i="1" s="1"/>
  <c r="P345" i="1"/>
  <c r="Q345" i="1" s="1"/>
  <c r="L345" i="1"/>
  <c r="M345" i="1" s="1"/>
  <c r="P361" i="1"/>
  <c r="Q361" i="1" s="1"/>
  <c r="N361" i="1"/>
  <c r="O361" i="1" s="1"/>
  <c r="L361" i="1"/>
  <c r="M361" i="1" s="1"/>
  <c r="V361" i="1"/>
  <c r="W361" i="1" s="1"/>
  <c r="T361" i="1"/>
  <c r="U361" i="1" s="1"/>
  <c r="R361" i="1"/>
  <c r="S361" i="1" s="1"/>
  <c r="T355" i="1"/>
  <c r="U355" i="1" s="1"/>
  <c r="V355" i="1"/>
  <c r="W355" i="1" s="1"/>
  <c r="L355" i="1"/>
  <c r="M355" i="1" s="1"/>
  <c r="N355" i="1"/>
  <c r="O355" i="1" s="1"/>
  <c r="R355" i="1"/>
  <c r="S355" i="1" s="1"/>
  <c r="P355" i="1"/>
  <c r="Q355" i="1" s="1"/>
  <c r="V348" i="1"/>
  <c r="W348" i="1" s="1"/>
  <c r="T348" i="1"/>
  <c r="U348" i="1" s="1"/>
  <c r="R348" i="1"/>
  <c r="S348" i="1" s="1"/>
  <c r="P348" i="1"/>
  <c r="Q348" i="1" s="1"/>
  <c r="N348" i="1"/>
  <c r="O348" i="1" s="1"/>
  <c r="L348" i="1"/>
  <c r="M348" i="1" s="1"/>
  <c r="V343" i="1"/>
  <c r="W343" i="1" s="1"/>
  <c r="T343" i="1"/>
  <c r="U343" i="1" s="1"/>
  <c r="R343" i="1"/>
  <c r="S343" i="1" s="1"/>
  <c r="P343" i="1"/>
  <c r="Q343" i="1" s="1"/>
  <c r="N343" i="1"/>
  <c r="O343" i="1" s="1"/>
  <c r="L343" i="1"/>
  <c r="M343" i="1" s="1"/>
  <c r="L218" i="1"/>
  <c r="M218" i="1" s="1"/>
  <c r="J218" i="1"/>
  <c r="K218" i="1" s="1"/>
  <c r="V218" i="1"/>
  <c r="W218" i="1" s="1"/>
  <c r="T218" i="1"/>
  <c r="U218" i="1" s="1"/>
  <c r="N218" i="1"/>
  <c r="O218" i="1" s="1"/>
  <c r="R218" i="1"/>
  <c r="S218" i="1" s="1"/>
  <c r="P218" i="1"/>
  <c r="Q218" i="1" s="1"/>
  <c r="P339" i="1"/>
  <c r="Q339" i="1" s="1"/>
  <c r="L339" i="1"/>
  <c r="M339" i="1" s="1"/>
  <c r="V339" i="1"/>
  <c r="W339" i="1" s="1"/>
  <c r="T339" i="1"/>
  <c r="U339" i="1" s="1"/>
  <c r="N339" i="1"/>
  <c r="O339" i="1" s="1"/>
  <c r="R339" i="1"/>
  <c r="S339" i="1" s="1"/>
  <c r="L352" i="1"/>
  <c r="M352" i="1" s="1"/>
  <c r="N352" i="1"/>
  <c r="O352" i="1" s="1"/>
  <c r="P352" i="1"/>
  <c r="Q352" i="1" s="1"/>
  <c r="R352" i="1"/>
  <c r="S352" i="1" s="1"/>
  <c r="T352" i="1"/>
  <c r="U352" i="1" s="1"/>
  <c r="V352" i="1"/>
  <c r="W352" i="1" s="1"/>
  <c r="T349" i="1"/>
  <c r="U349" i="1" s="1"/>
  <c r="V349" i="1"/>
  <c r="W349" i="1" s="1"/>
  <c r="L349" i="1"/>
  <c r="M349" i="1" s="1"/>
  <c r="N349" i="1"/>
  <c r="O349" i="1" s="1"/>
  <c r="R349" i="1"/>
  <c r="S349" i="1" s="1"/>
  <c r="P349" i="1"/>
  <c r="Q349" i="1" s="1"/>
  <c r="L385" i="1"/>
  <c r="M385" i="1" s="1"/>
  <c r="V385" i="1"/>
  <c r="W385" i="1" s="1"/>
  <c r="T385" i="1"/>
  <c r="U385" i="1" s="1"/>
  <c r="R385" i="1"/>
  <c r="S385" i="1" s="1"/>
  <c r="P385" i="1"/>
  <c r="Q385" i="1" s="1"/>
  <c r="N385" i="1"/>
  <c r="O385" i="1" s="1"/>
  <c r="T386" i="1"/>
  <c r="U386" i="1" s="1"/>
  <c r="R386" i="1"/>
  <c r="S386" i="1" s="1"/>
  <c r="P386" i="1"/>
  <c r="Q386" i="1" s="1"/>
  <c r="N386" i="1"/>
  <c r="O386" i="1" s="1"/>
  <c r="L386" i="1"/>
  <c r="M386" i="1" s="1"/>
  <c r="V386" i="1"/>
  <c r="W386" i="1" s="1"/>
  <c r="V341" i="1"/>
  <c r="W341" i="1" s="1"/>
  <c r="T341" i="1"/>
  <c r="U341" i="1" s="1"/>
  <c r="R341" i="1"/>
  <c r="S341" i="1" s="1"/>
  <c r="P341" i="1"/>
  <c r="Q341" i="1" s="1"/>
  <c r="N341" i="1"/>
  <c r="O341" i="1" s="1"/>
  <c r="L341" i="1"/>
  <c r="M341" i="1" s="1"/>
  <c r="I218" i="1"/>
  <c r="W333" i="1"/>
  <c r="U333" i="1"/>
  <c r="F300" i="1"/>
  <c r="V300" i="1" l="1"/>
  <c r="W300" i="1" s="1"/>
  <c r="R300" i="1"/>
  <c r="S300" i="1" s="1"/>
  <c r="P300" i="1"/>
  <c r="Q300" i="1" s="1"/>
  <c r="N300" i="1"/>
  <c r="O300" i="1" s="1"/>
  <c r="L300" i="1"/>
  <c r="M300" i="1" s="1"/>
  <c r="J300" i="1"/>
  <c r="K300" i="1" s="1"/>
  <c r="T300" i="1"/>
  <c r="U300" i="1" s="1"/>
  <c r="H300" i="1"/>
  <c r="I300" i="1" s="1"/>
  <c r="F247" i="1"/>
  <c r="G293" i="1"/>
  <c r="J247" i="1" l="1"/>
  <c r="K247" i="1" s="1"/>
  <c r="N247" i="1"/>
  <c r="O247" i="1" s="1"/>
  <c r="P247" i="1"/>
  <c r="Q247" i="1" s="1"/>
  <c r="R247" i="1"/>
  <c r="S247" i="1" s="1"/>
  <c r="T247" i="1"/>
  <c r="U247" i="1" s="1"/>
  <c r="H247" i="1"/>
  <c r="I247" i="1" s="1"/>
  <c r="V247" i="1"/>
  <c r="W247" i="1" s="1"/>
  <c r="L247" i="1"/>
  <c r="M247" i="1" s="1"/>
  <c r="V254" i="1"/>
  <c r="W254" i="1" s="1"/>
  <c r="J254" i="1"/>
  <c r="K254" i="1" s="1"/>
  <c r="L254" i="1"/>
  <c r="M254" i="1" s="1"/>
  <c r="N254" i="1"/>
  <c r="O254" i="1" s="1"/>
  <c r="P254" i="1"/>
  <c r="Q254" i="1" s="1"/>
  <c r="R254" i="1"/>
  <c r="S254" i="1" s="1"/>
  <c r="H254" i="1"/>
  <c r="I254" i="1" s="1"/>
  <c r="T254" i="1"/>
  <c r="U254" i="1" s="1"/>
  <c r="F387" i="1"/>
  <c r="F286" i="1"/>
  <c r="F268" i="1"/>
  <c r="F285" i="1"/>
  <c r="F276" i="1"/>
  <c r="F436" i="1"/>
  <c r="F278" i="1"/>
  <c r="F404" i="1"/>
  <c r="P436" i="1" l="1"/>
  <c r="Q436" i="1" s="1"/>
  <c r="H436" i="1"/>
  <c r="I436" i="1" s="1"/>
  <c r="L436" i="1"/>
  <c r="M436" i="1" s="1"/>
  <c r="R436" i="1"/>
  <c r="S436" i="1" s="1"/>
  <c r="V436" i="1"/>
  <c r="W436" i="1" s="1"/>
  <c r="N436" i="1"/>
  <c r="O436" i="1" s="1"/>
  <c r="T436" i="1"/>
  <c r="U436" i="1" s="1"/>
  <c r="J436" i="1"/>
  <c r="K436" i="1" s="1"/>
  <c r="V408" i="1"/>
  <c r="W408" i="1" s="1"/>
  <c r="N408" i="1"/>
  <c r="O408" i="1" s="1"/>
  <c r="L408" i="1"/>
  <c r="M408" i="1" s="1"/>
  <c r="P408" i="1"/>
  <c r="Q408" i="1" s="1"/>
  <c r="T408" i="1"/>
  <c r="U408" i="1" s="1"/>
  <c r="R408" i="1"/>
  <c r="S408" i="1" s="1"/>
  <c r="P387" i="1"/>
  <c r="Q387" i="1" s="1"/>
  <c r="N387" i="1"/>
  <c r="O387" i="1" s="1"/>
  <c r="L387" i="1"/>
  <c r="M387" i="1" s="1"/>
  <c r="V387" i="1"/>
  <c r="W387" i="1" s="1"/>
  <c r="T387" i="1"/>
  <c r="U387" i="1" s="1"/>
  <c r="R387" i="1"/>
  <c r="S387" i="1" s="1"/>
  <c r="V414" i="1"/>
  <c r="W414" i="1" s="1"/>
  <c r="N414" i="1"/>
  <c r="O414" i="1" s="1"/>
  <c r="L414" i="1"/>
  <c r="M414" i="1" s="1"/>
  <c r="P414" i="1"/>
  <c r="Q414" i="1" s="1"/>
  <c r="R414" i="1"/>
  <c r="S414" i="1" s="1"/>
  <c r="T414" i="1"/>
  <c r="U414" i="1" s="1"/>
  <c r="L404" i="1"/>
  <c r="M404" i="1" s="1"/>
  <c r="N404" i="1"/>
  <c r="O404" i="1" s="1"/>
  <c r="P404" i="1"/>
  <c r="Q404" i="1" s="1"/>
  <c r="R404" i="1"/>
  <c r="S404" i="1" s="1"/>
  <c r="T404" i="1"/>
  <c r="U404" i="1" s="1"/>
  <c r="V404" i="1"/>
  <c r="W404" i="1" s="1"/>
  <c r="T407" i="1"/>
  <c r="U407" i="1" s="1"/>
  <c r="V407" i="1"/>
  <c r="W407" i="1" s="1"/>
  <c r="L407" i="1"/>
  <c r="M407" i="1" s="1"/>
  <c r="N407" i="1"/>
  <c r="O407" i="1" s="1"/>
  <c r="R407" i="1"/>
  <c r="S407" i="1" s="1"/>
  <c r="P407" i="1"/>
  <c r="Q407" i="1" s="1"/>
  <c r="N268" i="1"/>
  <c r="O268" i="1" s="1"/>
  <c r="P268" i="1"/>
  <c r="Q268" i="1" s="1"/>
  <c r="R268" i="1"/>
  <c r="S268" i="1" s="1"/>
  <c r="T268" i="1"/>
  <c r="U268" i="1" s="1"/>
  <c r="V268" i="1"/>
  <c r="W268" i="1" s="1"/>
  <c r="H268" i="1"/>
  <c r="I268" i="1" s="1"/>
  <c r="J268" i="1"/>
  <c r="K268" i="1" s="1"/>
  <c r="L268" i="1"/>
  <c r="M268" i="1" s="1"/>
  <c r="N276" i="1"/>
  <c r="O276" i="1" s="1"/>
  <c r="J276" i="1"/>
  <c r="K276" i="1" s="1"/>
  <c r="H276" i="1"/>
  <c r="I276" i="1" s="1"/>
  <c r="V276" i="1"/>
  <c r="W276" i="1" s="1"/>
  <c r="T276" i="1"/>
  <c r="U276" i="1" s="1"/>
  <c r="R276" i="1"/>
  <c r="S276" i="1" s="1"/>
  <c r="P276" i="1"/>
  <c r="Q276" i="1" s="1"/>
  <c r="L276" i="1"/>
  <c r="M276" i="1" s="1"/>
  <c r="R286" i="1"/>
  <c r="S286" i="1" s="1"/>
  <c r="T286" i="1"/>
  <c r="U286" i="1" s="1"/>
  <c r="H286" i="1"/>
  <c r="I286" i="1" s="1"/>
  <c r="V286" i="1"/>
  <c r="W286" i="1" s="1"/>
  <c r="J286" i="1"/>
  <c r="K286" i="1" s="1"/>
  <c r="L286" i="1"/>
  <c r="M286" i="1" s="1"/>
  <c r="P286" i="1"/>
  <c r="Q286" i="1" s="1"/>
  <c r="N286" i="1"/>
  <c r="O286" i="1" s="1"/>
  <c r="P285" i="1"/>
  <c r="Q285" i="1" s="1"/>
  <c r="R285" i="1"/>
  <c r="S285" i="1" s="1"/>
  <c r="T285" i="1"/>
  <c r="U285" i="1" s="1"/>
  <c r="H285" i="1"/>
  <c r="I285" i="1" s="1"/>
  <c r="V285" i="1"/>
  <c r="W285" i="1" s="1"/>
  <c r="J285" i="1"/>
  <c r="K285" i="1" s="1"/>
  <c r="L285" i="1"/>
  <c r="M285" i="1" s="1"/>
  <c r="N285" i="1"/>
  <c r="O285" i="1" s="1"/>
  <c r="T278" i="1"/>
  <c r="U278" i="1" s="1"/>
  <c r="R278" i="1"/>
  <c r="S278" i="1" s="1"/>
  <c r="P278" i="1"/>
  <c r="Q278" i="1" s="1"/>
  <c r="N278" i="1"/>
  <c r="O278" i="1" s="1"/>
  <c r="L278" i="1"/>
  <c r="M278" i="1" s="1"/>
  <c r="J278" i="1"/>
  <c r="K278" i="1" s="1"/>
  <c r="H278" i="1"/>
  <c r="I278" i="1" s="1"/>
  <c r="V278" i="1"/>
  <c r="W278" i="1" s="1"/>
  <c r="G197" i="1"/>
  <c r="G286" i="1"/>
  <c r="G612" i="1"/>
  <c r="O220" i="1" l="1"/>
  <c r="M220" i="1"/>
  <c r="K220" i="1"/>
  <c r="F674" i="1"/>
  <c r="R674" i="1" l="1"/>
  <c r="S674" i="1" s="1"/>
  <c r="L674" i="1"/>
  <c r="M674" i="1" s="1"/>
  <c r="V674" i="1"/>
  <c r="W674" i="1" s="1"/>
  <c r="P674" i="1"/>
  <c r="Q674" i="1" s="1"/>
  <c r="T674" i="1"/>
  <c r="U674" i="1" s="1"/>
  <c r="J674" i="1"/>
  <c r="K674" i="1" s="1"/>
  <c r="N674" i="1"/>
  <c r="O674" i="1" s="1"/>
  <c r="H674" i="1"/>
  <c r="I674" i="1" s="1"/>
  <c r="F547" i="1"/>
  <c r="F546" i="1"/>
  <c r="F545" i="1"/>
  <c r="F534" i="1"/>
  <c r="F533" i="1"/>
  <c r="F595" i="1"/>
  <c r="F597" i="1"/>
  <c r="T534" i="1" l="1"/>
  <c r="U534" i="1" s="1"/>
  <c r="L534" i="1"/>
  <c r="M534" i="1" s="1"/>
  <c r="R534" i="1"/>
  <c r="S534" i="1" s="1"/>
  <c r="J534" i="1"/>
  <c r="K534" i="1" s="1"/>
  <c r="P534" i="1"/>
  <c r="Q534" i="1" s="1"/>
  <c r="N534" i="1"/>
  <c r="O534" i="1" s="1"/>
  <c r="H534" i="1"/>
  <c r="I534" i="1" s="1"/>
  <c r="V534" i="1"/>
  <c r="W534" i="1" s="1"/>
  <c r="H597" i="1"/>
  <c r="I597" i="1" s="1"/>
  <c r="L597" i="1"/>
  <c r="M597" i="1" s="1"/>
  <c r="P597" i="1"/>
  <c r="Q597" i="1" s="1"/>
  <c r="T597" i="1"/>
  <c r="U597" i="1" s="1"/>
  <c r="N597" i="1"/>
  <c r="O597" i="1" s="1"/>
  <c r="V597" i="1"/>
  <c r="W597" i="1" s="1"/>
  <c r="R597" i="1"/>
  <c r="S597" i="1" s="1"/>
  <c r="J597" i="1"/>
  <c r="K597" i="1" s="1"/>
  <c r="T545" i="1"/>
  <c r="U545" i="1" s="1"/>
  <c r="L545" i="1"/>
  <c r="M545" i="1" s="1"/>
  <c r="R545" i="1"/>
  <c r="S545" i="1" s="1"/>
  <c r="J545" i="1"/>
  <c r="K545" i="1" s="1"/>
  <c r="P545" i="1"/>
  <c r="Q545" i="1" s="1"/>
  <c r="N545" i="1"/>
  <c r="O545" i="1" s="1"/>
  <c r="H545" i="1"/>
  <c r="I545" i="1" s="1"/>
  <c r="V545" i="1"/>
  <c r="W545" i="1" s="1"/>
  <c r="H595" i="1"/>
  <c r="I595" i="1" s="1"/>
  <c r="L595" i="1"/>
  <c r="M595" i="1" s="1"/>
  <c r="P595" i="1"/>
  <c r="Q595" i="1" s="1"/>
  <c r="T595" i="1"/>
  <c r="U595" i="1" s="1"/>
  <c r="N595" i="1"/>
  <c r="O595" i="1" s="1"/>
  <c r="V595" i="1"/>
  <c r="W595" i="1" s="1"/>
  <c r="R595" i="1"/>
  <c r="S595" i="1" s="1"/>
  <c r="J595" i="1"/>
  <c r="K595" i="1" s="1"/>
  <c r="T546" i="1"/>
  <c r="U546" i="1" s="1"/>
  <c r="L546" i="1"/>
  <c r="M546" i="1" s="1"/>
  <c r="R546" i="1"/>
  <c r="S546" i="1" s="1"/>
  <c r="J546" i="1"/>
  <c r="K546" i="1" s="1"/>
  <c r="H546" i="1"/>
  <c r="I546" i="1" s="1"/>
  <c r="V546" i="1"/>
  <c r="W546" i="1" s="1"/>
  <c r="P546" i="1"/>
  <c r="Q546" i="1" s="1"/>
  <c r="N546" i="1"/>
  <c r="O546" i="1" s="1"/>
  <c r="T533" i="1"/>
  <c r="U533" i="1" s="1"/>
  <c r="L533" i="1"/>
  <c r="M533" i="1" s="1"/>
  <c r="R533" i="1"/>
  <c r="S533" i="1" s="1"/>
  <c r="J533" i="1"/>
  <c r="K533" i="1" s="1"/>
  <c r="H533" i="1"/>
  <c r="I533" i="1" s="1"/>
  <c r="V533" i="1"/>
  <c r="W533" i="1" s="1"/>
  <c r="P533" i="1"/>
  <c r="Q533" i="1" s="1"/>
  <c r="N533" i="1"/>
  <c r="O533" i="1" s="1"/>
  <c r="V547" i="1"/>
  <c r="W547" i="1" s="1"/>
  <c r="P547" i="1"/>
  <c r="Q547" i="1" s="1"/>
  <c r="T547" i="1"/>
  <c r="U547" i="1" s="1"/>
  <c r="J547" i="1"/>
  <c r="K547" i="1" s="1"/>
  <c r="N547" i="1"/>
  <c r="O547" i="1" s="1"/>
  <c r="L547" i="1"/>
  <c r="M547" i="1" s="1"/>
  <c r="R547" i="1"/>
  <c r="S547" i="1" s="1"/>
  <c r="H547" i="1"/>
  <c r="I547" i="1" s="1"/>
  <c r="G595" i="1"/>
  <c r="G256" i="1" l="1"/>
  <c r="G251" i="1"/>
  <c r="G419" i="1"/>
  <c r="W243" i="1" l="1"/>
  <c r="U243" i="1"/>
  <c r="S243" i="1"/>
  <c r="Q243" i="1"/>
  <c r="O243" i="1"/>
  <c r="M243" i="1"/>
  <c r="K243" i="1"/>
  <c r="I243" i="1"/>
  <c r="W195" i="1" l="1"/>
  <c r="U195" i="1"/>
  <c r="S195" i="1"/>
  <c r="Q195" i="1"/>
  <c r="O195" i="1"/>
  <c r="M195" i="1"/>
  <c r="W97" i="1" l="1"/>
  <c r="U97" i="1"/>
  <c r="S97" i="1"/>
  <c r="Q97" i="1"/>
  <c r="O97" i="1"/>
  <c r="M97" i="1"/>
  <c r="K97" i="1"/>
  <c r="K377" i="1" l="1"/>
  <c r="G377" i="1"/>
  <c r="W453" i="1"/>
  <c r="U453" i="1"/>
  <c r="S453" i="1"/>
  <c r="Q453" i="1"/>
  <c r="O453" i="1"/>
  <c r="M453" i="1"/>
  <c r="K453" i="1"/>
  <c r="G453" i="1"/>
  <c r="G454" i="1"/>
  <c r="G452" i="1"/>
  <c r="G441" i="1" l="1"/>
  <c r="G457" i="1" l="1"/>
  <c r="G375" i="1" l="1"/>
  <c r="G372" i="1"/>
  <c r="G326" i="1"/>
  <c r="F365" i="1" l="1"/>
  <c r="W486" i="1"/>
  <c r="U486" i="1"/>
  <c r="S486" i="1"/>
  <c r="Q486" i="1"/>
  <c r="O486" i="1"/>
  <c r="V365" i="1" l="1"/>
  <c r="W365" i="1" s="1"/>
  <c r="T365" i="1"/>
  <c r="U365" i="1" s="1"/>
  <c r="R365" i="1"/>
  <c r="S365" i="1" s="1"/>
  <c r="P365" i="1"/>
  <c r="Q365" i="1" s="1"/>
  <c r="N365" i="1"/>
  <c r="O365" i="1" s="1"/>
  <c r="L365" i="1"/>
  <c r="M365" i="1" s="1"/>
  <c r="K132" i="1"/>
  <c r="G365" i="1"/>
  <c r="G270" i="1"/>
  <c r="G132" i="1"/>
  <c r="G492" i="1"/>
  <c r="G371" i="1" l="1"/>
  <c r="G210" i="1"/>
  <c r="G307" i="1" l="1"/>
  <c r="G213" i="1" l="1"/>
  <c r="U125" i="1"/>
  <c r="S125" i="1"/>
  <c r="Q125" i="1"/>
  <c r="O125" i="1"/>
  <c r="M125" i="1"/>
  <c r="W120" i="1"/>
  <c r="U120" i="1"/>
  <c r="S120" i="1"/>
  <c r="Q120" i="1"/>
  <c r="O120" i="1"/>
  <c r="M120" i="1"/>
  <c r="F308" i="1"/>
  <c r="R308" i="1" l="1"/>
  <c r="S308" i="1" s="1"/>
  <c r="N308" i="1"/>
  <c r="O308" i="1" s="1"/>
  <c r="L308" i="1"/>
  <c r="M308" i="1" s="1"/>
  <c r="J308" i="1"/>
  <c r="K308" i="1" s="1"/>
  <c r="H308" i="1"/>
  <c r="I308" i="1" s="1"/>
  <c r="V308" i="1"/>
  <c r="W308" i="1" s="1"/>
  <c r="T308" i="1"/>
  <c r="U308" i="1" s="1"/>
  <c r="P308" i="1"/>
  <c r="Q308" i="1" s="1"/>
  <c r="G308" i="1"/>
  <c r="G266" i="1"/>
  <c r="U28" i="1" l="1"/>
  <c r="S28" i="1"/>
  <c r="Q28" i="1"/>
  <c r="O28" i="1"/>
  <c r="M28" i="1"/>
  <c r="G278" i="1" l="1"/>
  <c r="G274" i="1"/>
  <c r="F589" i="1" l="1"/>
  <c r="J589" i="1" l="1"/>
  <c r="K589" i="1" s="1"/>
  <c r="T589" i="1"/>
  <c r="U589" i="1" s="1"/>
  <c r="P589" i="1"/>
  <c r="Q589" i="1" s="1"/>
  <c r="V589" i="1"/>
  <c r="W589" i="1" s="1"/>
  <c r="R589" i="1"/>
  <c r="S589" i="1" s="1"/>
  <c r="H589" i="1"/>
  <c r="I589" i="1" s="1"/>
  <c r="L589" i="1"/>
  <c r="M589" i="1" s="1"/>
  <c r="N589" i="1"/>
  <c r="O589" i="1" s="1"/>
  <c r="W118" i="1"/>
  <c r="U118" i="1"/>
  <c r="S118" i="1"/>
  <c r="Q118" i="1"/>
  <c r="O118" i="1"/>
  <c r="M118" i="1"/>
  <c r="W123" i="1"/>
  <c r="U123" i="1"/>
  <c r="S123" i="1"/>
  <c r="Q123" i="1"/>
  <c r="O123" i="1"/>
  <c r="M123" i="1"/>
  <c r="S121" i="1"/>
  <c r="F62" i="1" l="1"/>
  <c r="P62" i="1" l="1"/>
  <c r="Q62" i="1" s="1"/>
  <c r="N62" i="1"/>
  <c r="O62" i="1" s="1"/>
  <c r="L62" i="1"/>
  <c r="M62" i="1" s="1"/>
  <c r="J62" i="1"/>
  <c r="K62" i="1" s="1"/>
  <c r="R62" i="1"/>
  <c r="S62" i="1" s="1"/>
  <c r="V62" i="1"/>
  <c r="W62" i="1" s="1"/>
  <c r="T62" i="1"/>
  <c r="U62" i="1" s="1"/>
  <c r="G62" i="1"/>
  <c r="G63" i="1" l="1"/>
  <c r="K63" i="1"/>
  <c r="M63" i="1"/>
  <c r="O63" i="1"/>
  <c r="Q63" i="1"/>
  <c r="S63" i="1"/>
  <c r="U63" i="1"/>
  <c r="W63" i="1"/>
  <c r="W128" i="1" l="1"/>
  <c r="U128" i="1"/>
  <c r="S128" i="1"/>
  <c r="Q128" i="1"/>
  <c r="O128" i="1"/>
  <c r="M128" i="1"/>
  <c r="G128" i="1"/>
  <c r="G490" i="1" l="1"/>
  <c r="G303" i="1"/>
  <c r="G61" i="1" l="1"/>
  <c r="G594" i="1" l="1"/>
  <c r="G538" i="1" l="1"/>
  <c r="G537" i="1"/>
  <c r="G434" i="1" l="1"/>
  <c r="I695" i="1" l="1"/>
  <c r="I696" i="1"/>
  <c r="K696" i="1" l="1"/>
  <c r="G696" i="1"/>
  <c r="G569" i="1" l="1"/>
  <c r="F645" i="1" l="1"/>
  <c r="P645" i="1" l="1"/>
  <c r="H645" i="1"/>
  <c r="T645" i="1"/>
  <c r="U645" i="1" s="1"/>
  <c r="R645" i="1"/>
  <c r="S645" i="1" s="1"/>
  <c r="J645" i="1"/>
  <c r="V645" i="1"/>
  <c r="W645" i="1" s="1"/>
  <c r="N645" i="1"/>
  <c r="O645" i="1" s="1"/>
  <c r="L645" i="1"/>
  <c r="M645" i="1" s="1"/>
  <c r="Q645" i="1"/>
  <c r="K645" i="1"/>
  <c r="G645" i="1" l="1"/>
  <c r="I645" i="1"/>
  <c r="U524" i="1" l="1"/>
  <c r="W523" i="1"/>
  <c r="O523" i="1" l="1"/>
  <c r="I523" i="1"/>
  <c r="K523" i="1"/>
  <c r="M523" i="1"/>
  <c r="Q523" i="1"/>
  <c r="S523" i="1"/>
  <c r="U523" i="1"/>
  <c r="W524" i="1"/>
  <c r="M524" i="1"/>
  <c r="O524" i="1"/>
  <c r="K524" i="1"/>
  <c r="Q524" i="1"/>
  <c r="S524" i="1"/>
  <c r="G524" i="1"/>
  <c r="I524" i="1"/>
  <c r="G523" i="1"/>
  <c r="G580" i="1" l="1"/>
  <c r="G611" i="1" l="1"/>
  <c r="G610" i="1"/>
  <c r="F614" i="1" l="1"/>
  <c r="H614" i="1" l="1"/>
  <c r="I614" i="1" s="1"/>
  <c r="N614" i="1"/>
  <c r="O614" i="1" s="1"/>
  <c r="R614" i="1"/>
  <c r="S614" i="1" s="1"/>
  <c r="L614" i="1"/>
  <c r="M614" i="1" s="1"/>
  <c r="T614" i="1"/>
  <c r="U614" i="1" s="1"/>
  <c r="P614" i="1"/>
  <c r="Q614" i="1" s="1"/>
  <c r="J614" i="1"/>
  <c r="K614" i="1" s="1"/>
  <c r="V614" i="1"/>
  <c r="W614" i="1" s="1"/>
  <c r="G614" i="1"/>
  <c r="G609" i="1"/>
  <c r="G655" i="1" l="1"/>
  <c r="G674" i="1"/>
  <c r="W671" i="1" l="1"/>
  <c r="S671" i="1"/>
  <c r="O671" i="1"/>
  <c r="K671" i="1"/>
  <c r="G671" i="1"/>
  <c r="M671" i="1" l="1"/>
  <c r="Q671" i="1"/>
  <c r="U671" i="1"/>
  <c r="F685" i="1" l="1"/>
  <c r="V685" i="1" l="1"/>
  <c r="W685" i="1" s="1"/>
  <c r="P685" i="1"/>
  <c r="Q685" i="1" s="1"/>
  <c r="T685" i="1"/>
  <c r="U685" i="1" s="1"/>
  <c r="J685" i="1"/>
  <c r="N685" i="1"/>
  <c r="O685" i="1" s="1"/>
  <c r="R685" i="1"/>
  <c r="S685" i="1" s="1"/>
  <c r="L685" i="1"/>
  <c r="M685" i="1" s="1"/>
  <c r="K685" i="1"/>
  <c r="G650" i="1"/>
  <c r="G648" i="1"/>
  <c r="F536" i="1"/>
  <c r="T536" i="1" l="1"/>
  <c r="U536" i="1" s="1"/>
  <c r="L536" i="1"/>
  <c r="M536" i="1" s="1"/>
  <c r="R536" i="1"/>
  <c r="S536" i="1" s="1"/>
  <c r="J536" i="1"/>
  <c r="K536" i="1" s="1"/>
  <c r="H536" i="1"/>
  <c r="I536" i="1" s="1"/>
  <c r="V536" i="1"/>
  <c r="W536" i="1" s="1"/>
  <c r="P536" i="1"/>
  <c r="Q536" i="1" s="1"/>
  <c r="N536" i="1"/>
  <c r="O536" i="1" s="1"/>
  <c r="F374" i="1"/>
  <c r="F255" i="1"/>
  <c r="F209" i="1"/>
  <c r="V209" i="1" l="1"/>
  <c r="W209" i="1" s="1"/>
  <c r="R209" i="1"/>
  <c r="S209" i="1" s="1"/>
  <c r="P209" i="1"/>
  <c r="Q209" i="1" s="1"/>
  <c r="N209" i="1"/>
  <c r="O209" i="1" s="1"/>
  <c r="L209" i="1"/>
  <c r="M209" i="1" s="1"/>
  <c r="T209" i="1"/>
  <c r="U209" i="1" s="1"/>
  <c r="J209" i="1"/>
  <c r="K209" i="1" s="1"/>
  <c r="V255" i="1"/>
  <c r="W255" i="1" s="1"/>
  <c r="H255" i="1"/>
  <c r="I255" i="1" s="1"/>
  <c r="J255" i="1"/>
  <c r="K255" i="1" s="1"/>
  <c r="L255" i="1"/>
  <c r="M255" i="1" s="1"/>
  <c r="N255" i="1"/>
  <c r="O255" i="1" s="1"/>
  <c r="P255" i="1"/>
  <c r="Q255" i="1" s="1"/>
  <c r="R255" i="1"/>
  <c r="S255" i="1" s="1"/>
  <c r="T255" i="1"/>
  <c r="U255" i="1" s="1"/>
  <c r="V374" i="1"/>
  <c r="W374" i="1" s="1"/>
  <c r="T374" i="1"/>
  <c r="U374" i="1" s="1"/>
  <c r="R374" i="1"/>
  <c r="S374" i="1" s="1"/>
  <c r="P374" i="1"/>
  <c r="Q374" i="1" s="1"/>
  <c r="N374" i="1"/>
  <c r="O374" i="1" s="1"/>
  <c r="L374" i="1"/>
  <c r="M374" i="1" s="1"/>
  <c r="I227" i="1"/>
  <c r="G14" i="1"/>
  <c r="U14" i="1" l="1"/>
  <c r="S14" i="1"/>
  <c r="Q14" i="1"/>
  <c r="O14" i="1"/>
  <c r="M14" i="1"/>
  <c r="K14" i="1"/>
  <c r="I14" i="1"/>
  <c r="G30" i="1" l="1"/>
  <c r="F590" i="1"/>
  <c r="F541" i="1"/>
  <c r="F530" i="1"/>
  <c r="F529" i="1"/>
  <c r="T530" i="1" l="1"/>
  <c r="U530" i="1" s="1"/>
  <c r="L530" i="1"/>
  <c r="M530" i="1" s="1"/>
  <c r="R530" i="1"/>
  <c r="S530" i="1" s="1"/>
  <c r="J530" i="1"/>
  <c r="K530" i="1" s="1"/>
  <c r="P530" i="1"/>
  <c r="Q530" i="1" s="1"/>
  <c r="N530" i="1"/>
  <c r="O530" i="1" s="1"/>
  <c r="H530" i="1"/>
  <c r="I530" i="1" s="1"/>
  <c r="V530" i="1"/>
  <c r="W530" i="1" s="1"/>
  <c r="T541" i="1"/>
  <c r="U541" i="1" s="1"/>
  <c r="L541" i="1"/>
  <c r="M541" i="1" s="1"/>
  <c r="R541" i="1"/>
  <c r="S541" i="1" s="1"/>
  <c r="J541" i="1"/>
  <c r="K541" i="1" s="1"/>
  <c r="H541" i="1"/>
  <c r="I541" i="1" s="1"/>
  <c r="V541" i="1"/>
  <c r="W541" i="1" s="1"/>
  <c r="P541" i="1"/>
  <c r="Q541" i="1" s="1"/>
  <c r="N541" i="1"/>
  <c r="O541" i="1" s="1"/>
  <c r="J590" i="1"/>
  <c r="K590" i="1" s="1"/>
  <c r="P590" i="1"/>
  <c r="Q590" i="1" s="1"/>
  <c r="T590" i="1"/>
  <c r="U590" i="1" s="1"/>
  <c r="L590" i="1"/>
  <c r="M590" i="1" s="1"/>
  <c r="N590" i="1"/>
  <c r="O590" i="1" s="1"/>
  <c r="V590" i="1"/>
  <c r="W590" i="1" s="1"/>
  <c r="H590" i="1"/>
  <c r="I590" i="1" s="1"/>
  <c r="R590" i="1"/>
  <c r="S590" i="1" s="1"/>
  <c r="V529" i="1"/>
  <c r="W529" i="1" s="1"/>
  <c r="P529" i="1"/>
  <c r="Q529" i="1" s="1"/>
  <c r="T529" i="1"/>
  <c r="U529" i="1" s="1"/>
  <c r="J529" i="1"/>
  <c r="K529" i="1" s="1"/>
  <c r="N529" i="1"/>
  <c r="O529" i="1" s="1"/>
  <c r="L529" i="1"/>
  <c r="M529" i="1" s="1"/>
  <c r="R529" i="1"/>
  <c r="S529" i="1" s="1"/>
  <c r="H529" i="1"/>
  <c r="I529" i="1" s="1"/>
  <c r="G525" i="1"/>
  <c r="F474" i="1"/>
  <c r="F420" i="1"/>
  <c r="V474" i="1" l="1"/>
  <c r="W474" i="1" s="1"/>
  <c r="N474" i="1"/>
  <c r="O474" i="1" s="1"/>
  <c r="T474" i="1"/>
  <c r="U474" i="1" s="1"/>
  <c r="L474" i="1"/>
  <c r="M474" i="1" s="1"/>
  <c r="R474" i="1"/>
  <c r="S474" i="1" s="1"/>
  <c r="J474" i="1"/>
  <c r="K474" i="1" s="1"/>
  <c r="P474" i="1"/>
  <c r="Q474" i="1" s="1"/>
  <c r="N420" i="1"/>
  <c r="O420" i="1" s="1"/>
  <c r="T420" i="1"/>
  <c r="U420" i="1" s="1"/>
  <c r="H420" i="1"/>
  <c r="I420" i="1" s="1"/>
  <c r="R420" i="1"/>
  <c r="S420" i="1" s="1"/>
  <c r="L420" i="1"/>
  <c r="M420" i="1" s="1"/>
  <c r="V420" i="1"/>
  <c r="W420" i="1" s="1"/>
  <c r="J420" i="1"/>
  <c r="K420" i="1" s="1"/>
  <c r="P420" i="1"/>
  <c r="Q420" i="1" s="1"/>
  <c r="F395" i="1"/>
  <c r="F368" i="1"/>
  <c r="F347" i="1"/>
  <c r="F346" i="1"/>
  <c r="F344" i="1"/>
  <c r="F342" i="1"/>
  <c r="F340" i="1"/>
  <c r="F284" i="1"/>
  <c r="H284" i="1" s="1"/>
  <c r="I284" i="1" s="1"/>
  <c r="F282" i="1"/>
  <c r="F280" i="1"/>
  <c r="F241" i="1"/>
  <c r="F231" i="1"/>
  <c r="F230" i="1"/>
  <c r="F149" i="1"/>
  <c r="F96" i="1"/>
  <c r="T395" i="1" l="1"/>
  <c r="U395" i="1" s="1"/>
  <c r="R395" i="1"/>
  <c r="S395" i="1" s="1"/>
  <c r="P395" i="1"/>
  <c r="Q395" i="1" s="1"/>
  <c r="N395" i="1"/>
  <c r="O395" i="1" s="1"/>
  <c r="L395" i="1"/>
  <c r="M395" i="1" s="1"/>
  <c r="V395" i="1"/>
  <c r="W395" i="1" s="1"/>
  <c r="N340" i="1"/>
  <c r="O340" i="1" s="1"/>
  <c r="L340" i="1"/>
  <c r="M340" i="1" s="1"/>
  <c r="V344" i="1"/>
  <c r="W344" i="1" s="1"/>
  <c r="T344" i="1"/>
  <c r="U344" i="1" s="1"/>
  <c r="R344" i="1"/>
  <c r="S344" i="1" s="1"/>
  <c r="P344" i="1"/>
  <c r="Q344" i="1" s="1"/>
  <c r="N344" i="1"/>
  <c r="O344" i="1" s="1"/>
  <c r="L344" i="1"/>
  <c r="M344" i="1" s="1"/>
  <c r="N282" i="1"/>
  <c r="O282" i="1" s="1"/>
  <c r="P282" i="1"/>
  <c r="Q282" i="1" s="1"/>
  <c r="R282" i="1"/>
  <c r="S282" i="1" s="1"/>
  <c r="T282" i="1"/>
  <c r="U282" i="1" s="1"/>
  <c r="H282" i="1"/>
  <c r="I282" i="1" s="1"/>
  <c r="V282" i="1"/>
  <c r="W282" i="1" s="1"/>
  <c r="L282" i="1"/>
  <c r="M282" i="1" s="1"/>
  <c r="J282" i="1"/>
  <c r="K282" i="1" s="1"/>
  <c r="P342" i="1"/>
  <c r="Q342" i="1" s="1"/>
  <c r="L342" i="1"/>
  <c r="M342" i="1" s="1"/>
  <c r="V342" i="1"/>
  <c r="W342" i="1" s="1"/>
  <c r="T342" i="1"/>
  <c r="U342" i="1" s="1"/>
  <c r="R342" i="1"/>
  <c r="S342" i="1" s="1"/>
  <c r="N342" i="1"/>
  <c r="O342" i="1" s="1"/>
  <c r="V346" i="1"/>
  <c r="W346" i="1" s="1"/>
  <c r="R346" i="1"/>
  <c r="S346" i="1" s="1"/>
  <c r="P346" i="1"/>
  <c r="Q346" i="1" s="1"/>
  <c r="N346" i="1"/>
  <c r="O346" i="1" s="1"/>
  <c r="L346" i="1"/>
  <c r="M346" i="1" s="1"/>
  <c r="T346" i="1"/>
  <c r="U346" i="1" s="1"/>
  <c r="P347" i="1"/>
  <c r="Q347" i="1" s="1"/>
  <c r="N347" i="1"/>
  <c r="O347" i="1" s="1"/>
  <c r="L347" i="1"/>
  <c r="M347" i="1" s="1"/>
  <c r="V368" i="1"/>
  <c r="W368" i="1" s="1"/>
  <c r="T368" i="1"/>
  <c r="U368" i="1" s="1"/>
  <c r="R368" i="1"/>
  <c r="S368" i="1" s="1"/>
  <c r="P368" i="1"/>
  <c r="Q368" i="1" s="1"/>
  <c r="N368" i="1"/>
  <c r="O368" i="1" s="1"/>
  <c r="L368" i="1"/>
  <c r="M368" i="1" s="1"/>
  <c r="V230" i="1"/>
  <c r="W230" i="1" s="1"/>
  <c r="T230" i="1"/>
  <c r="U230" i="1" s="1"/>
  <c r="R230" i="1"/>
  <c r="S230" i="1" s="1"/>
  <c r="P230" i="1"/>
  <c r="Q230" i="1" s="1"/>
  <c r="L230" i="1"/>
  <c r="M230" i="1" s="1"/>
  <c r="N230" i="1"/>
  <c r="O230" i="1" s="1"/>
  <c r="J230" i="1"/>
  <c r="K230" i="1" s="1"/>
  <c r="P241" i="1"/>
  <c r="Q241" i="1" s="1"/>
  <c r="N241" i="1"/>
  <c r="O241" i="1" s="1"/>
  <c r="L241" i="1"/>
  <c r="M241" i="1" s="1"/>
  <c r="J241" i="1"/>
  <c r="K241" i="1" s="1"/>
  <c r="V241" i="1"/>
  <c r="W241" i="1" s="1"/>
  <c r="T241" i="1"/>
  <c r="U241" i="1" s="1"/>
  <c r="R241" i="1"/>
  <c r="S241" i="1" s="1"/>
  <c r="P96" i="1"/>
  <c r="Q96" i="1" s="1"/>
  <c r="N96" i="1"/>
  <c r="O96" i="1" s="1"/>
  <c r="T96" i="1"/>
  <c r="U96" i="1" s="1"/>
  <c r="L96" i="1"/>
  <c r="M96" i="1" s="1"/>
  <c r="J96" i="1"/>
  <c r="K96" i="1" s="1"/>
  <c r="R96" i="1"/>
  <c r="S96" i="1" s="1"/>
  <c r="V96" i="1"/>
  <c r="W96" i="1" s="1"/>
  <c r="V149" i="1"/>
  <c r="W149" i="1" s="1"/>
  <c r="T149" i="1"/>
  <c r="U149" i="1" s="1"/>
  <c r="R149" i="1"/>
  <c r="S149" i="1" s="1"/>
  <c r="P149" i="1"/>
  <c r="Q149" i="1" s="1"/>
  <c r="N149" i="1"/>
  <c r="O149" i="1" s="1"/>
  <c r="H149" i="1"/>
  <c r="I149" i="1" s="1"/>
  <c r="L149" i="1"/>
  <c r="M149" i="1" s="1"/>
  <c r="J149" i="1"/>
  <c r="K149" i="1" s="1"/>
  <c r="L231" i="1"/>
  <c r="M231" i="1" s="1"/>
  <c r="J231" i="1"/>
  <c r="K231" i="1" s="1"/>
  <c r="V231" i="1"/>
  <c r="W231" i="1" s="1"/>
  <c r="T231" i="1"/>
  <c r="U231" i="1" s="1"/>
  <c r="R231" i="1"/>
  <c r="S231" i="1" s="1"/>
  <c r="P231" i="1"/>
  <c r="Q231" i="1" s="1"/>
  <c r="N231" i="1"/>
  <c r="O231" i="1" s="1"/>
  <c r="P280" i="1"/>
  <c r="Q280" i="1" s="1"/>
  <c r="T280" i="1"/>
  <c r="U280" i="1" s="1"/>
  <c r="H280" i="1"/>
  <c r="I280" i="1" s="1"/>
  <c r="V280" i="1"/>
  <c r="W280" i="1" s="1"/>
  <c r="J280" i="1"/>
  <c r="K280" i="1" s="1"/>
  <c r="L280" i="1"/>
  <c r="M280" i="1" s="1"/>
  <c r="N280" i="1"/>
  <c r="O280" i="1" s="1"/>
  <c r="R280" i="1"/>
  <c r="S280" i="1" s="1"/>
  <c r="I104" i="1"/>
  <c r="I102" i="1"/>
  <c r="I99" i="1"/>
  <c r="I100" i="1"/>
  <c r="G618" i="1" l="1"/>
  <c r="G362" i="1"/>
  <c r="G361" i="1" l="1"/>
  <c r="G432" i="1" l="1"/>
  <c r="G433" i="1"/>
  <c r="G429" i="1"/>
  <c r="G430" i="1"/>
  <c r="G247" i="1"/>
  <c r="J11" i="1" l="1"/>
  <c r="G11" i="1"/>
  <c r="I447" i="1" l="1"/>
  <c r="G252" i="1" l="1"/>
  <c r="G254" i="1" l="1"/>
  <c r="G360" i="1" l="1"/>
  <c r="G408" i="1"/>
  <c r="G518" i="1" l="1"/>
  <c r="W227" i="1" l="1"/>
  <c r="U227" i="1"/>
  <c r="S227" i="1"/>
  <c r="Q227" i="1"/>
  <c r="O227" i="1"/>
  <c r="M227" i="1"/>
  <c r="K227" i="1"/>
  <c r="U190" i="1"/>
  <c r="S190" i="1"/>
  <c r="Q190" i="1"/>
  <c r="O190" i="1"/>
  <c r="M190" i="1"/>
  <c r="J10" i="1"/>
  <c r="I68" i="1"/>
  <c r="G436" i="1" l="1"/>
  <c r="U447" i="1" l="1"/>
  <c r="S447" i="1"/>
  <c r="Q447" i="1"/>
  <c r="O447" i="1"/>
  <c r="M447" i="1"/>
  <c r="K447" i="1"/>
  <c r="G447" i="1"/>
  <c r="G527" i="1" l="1"/>
  <c r="G526" i="1"/>
  <c r="U144" i="1"/>
  <c r="W144" i="1"/>
  <c r="S144" i="1"/>
  <c r="Q144" i="1"/>
  <c r="O144" i="1"/>
  <c r="M144" i="1"/>
  <c r="K144" i="1"/>
  <c r="W143" i="1"/>
  <c r="U143" i="1"/>
  <c r="S143" i="1"/>
  <c r="Q143" i="1"/>
  <c r="O143" i="1"/>
  <c r="M143" i="1"/>
  <c r="K143" i="1"/>
  <c r="G411" i="1" l="1"/>
  <c r="G540" i="1" l="1"/>
  <c r="I507" i="1" l="1"/>
  <c r="I506" i="1"/>
  <c r="G500" i="1" l="1"/>
  <c r="Q500" i="1" l="1"/>
  <c r="O500" i="1"/>
  <c r="M500" i="1"/>
  <c r="W500" i="1"/>
  <c r="K500" i="1"/>
  <c r="U500" i="1"/>
  <c r="S500" i="1"/>
  <c r="I500" i="1"/>
  <c r="G424" i="1" l="1"/>
  <c r="F17" i="1" l="1"/>
  <c r="H17" i="1" s="1"/>
  <c r="F18" i="1"/>
  <c r="H18" i="1" s="1"/>
  <c r="I164" i="1" l="1"/>
  <c r="G593" i="1"/>
  <c r="G417" i="1" l="1"/>
  <c r="G528" i="1" l="1"/>
  <c r="G386" i="1" l="1"/>
  <c r="F550" i="1" l="1"/>
  <c r="T550" i="1" l="1"/>
  <c r="U550" i="1" s="1"/>
  <c r="L550" i="1"/>
  <c r="M550" i="1" s="1"/>
  <c r="R550" i="1"/>
  <c r="S550" i="1" s="1"/>
  <c r="J550" i="1"/>
  <c r="K550" i="1" s="1"/>
  <c r="H550" i="1"/>
  <c r="I550" i="1" s="1"/>
  <c r="V550" i="1"/>
  <c r="W550" i="1" s="1"/>
  <c r="P550" i="1"/>
  <c r="Q550" i="1" s="1"/>
  <c r="N550" i="1"/>
  <c r="O550" i="1" s="1"/>
  <c r="G550" i="1"/>
  <c r="G387" i="1" l="1"/>
  <c r="G384" i="1" l="1"/>
  <c r="G685" i="1" l="1"/>
  <c r="G573" i="1"/>
  <c r="G613" i="1"/>
  <c r="G100" i="1"/>
  <c r="G460" i="1" l="1"/>
  <c r="G684" i="1"/>
  <c r="F461" i="1"/>
  <c r="N461" i="1" l="1"/>
  <c r="O461" i="1" s="1"/>
  <c r="H461" i="1"/>
  <c r="I461" i="1" s="1"/>
  <c r="R461" i="1"/>
  <c r="S461" i="1" s="1"/>
  <c r="L461" i="1"/>
  <c r="M461" i="1" s="1"/>
  <c r="V461" i="1"/>
  <c r="W461" i="1" s="1"/>
  <c r="P461" i="1"/>
  <c r="Q461" i="1" s="1"/>
  <c r="T461" i="1"/>
  <c r="U461" i="1" s="1"/>
  <c r="J461" i="1"/>
  <c r="K461" i="1" s="1"/>
  <c r="G461" i="1"/>
  <c r="G462" i="1"/>
  <c r="G463" i="1"/>
  <c r="G385" i="1" l="1"/>
  <c r="W150" i="1" l="1"/>
  <c r="U150" i="1"/>
  <c r="S150" i="1"/>
  <c r="Q150" i="1"/>
  <c r="O150" i="1"/>
  <c r="M150" i="1"/>
  <c r="K150" i="1"/>
  <c r="W487" i="1"/>
  <c r="W483" i="1"/>
  <c r="W482" i="1"/>
  <c r="U487" i="1"/>
  <c r="U483" i="1"/>
  <c r="U482" i="1"/>
  <c r="S487" i="1"/>
  <c r="S483" i="1"/>
  <c r="S482" i="1"/>
  <c r="Q487" i="1"/>
  <c r="Q483" i="1"/>
  <c r="Q482" i="1"/>
  <c r="O487" i="1"/>
  <c r="O483" i="1"/>
  <c r="O482" i="1"/>
  <c r="G485" i="1"/>
  <c r="G486" i="1"/>
  <c r="G487" i="1"/>
  <c r="G484" i="1"/>
  <c r="G483" i="1"/>
  <c r="G482" i="1"/>
  <c r="G352" i="1" l="1"/>
  <c r="F517" i="1" l="1"/>
  <c r="T517" i="1" l="1"/>
  <c r="U517" i="1" s="1"/>
  <c r="L517" i="1"/>
  <c r="M517" i="1" s="1"/>
  <c r="R517" i="1"/>
  <c r="S517" i="1" s="1"/>
  <c r="J517" i="1"/>
  <c r="K517" i="1" s="1"/>
  <c r="H517" i="1"/>
  <c r="I517" i="1" s="1"/>
  <c r="P517" i="1"/>
  <c r="Q517" i="1" s="1"/>
  <c r="V517" i="1"/>
  <c r="W517" i="1" s="1"/>
  <c r="N517" i="1"/>
  <c r="O517" i="1" s="1"/>
  <c r="M130" i="1"/>
  <c r="F551" i="1" l="1"/>
  <c r="T551" i="1" l="1"/>
  <c r="U551" i="1" s="1"/>
  <c r="L551" i="1"/>
  <c r="M551" i="1" s="1"/>
  <c r="R551" i="1"/>
  <c r="S551" i="1" s="1"/>
  <c r="J551" i="1"/>
  <c r="K551" i="1" s="1"/>
  <c r="H551" i="1"/>
  <c r="I551" i="1" s="1"/>
  <c r="V551" i="1"/>
  <c r="W551" i="1" s="1"/>
  <c r="P551" i="1"/>
  <c r="Q551" i="1" s="1"/>
  <c r="N551" i="1"/>
  <c r="O551" i="1" s="1"/>
  <c r="G292" i="1"/>
  <c r="G374" i="1" l="1"/>
  <c r="F363" i="1" l="1"/>
  <c r="F184" i="1"/>
  <c r="F183" i="1"/>
  <c r="F182" i="1"/>
  <c r="F181" i="1"/>
  <c r="F180" i="1"/>
  <c r="F179" i="1"/>
  <c r="L363" i="1" l="1"/>
  <c r="M363" i="1" s="1"/>
  <c r="T363" i="1"/>
  <c r="U363" i="1" s="1"/>
  <c r="R363" i="1"/>
  <c r="S363" i="1" s="1"/>
  <c r="P363" i="1"/>
  <c r="Q363" i="1" s="1"/>
  <c r="N363" i="1"/>
  <c r="O363" i="1" s="1"/>
  <c r="N179" i="1"/>
  <c r="O179" i="1" s="1"/>
  <c r="L179" i="1"/>
  <c r="M179" i="1" s="1"/>
  <c r="J179" i="1"/>
  <c r="K179" i="1" s="1"/>
  <c r="H179" i="1"/>
  <c r="I179" i="1" s="1"/>
  <c r="P179" i="1"/>
  <c r="Q179" i="1" s="1"/>
  <c r="V179" i="1"/>
  <c r="W179" i="1" s="1"/>
  <c r="R179" i="1"/>
  <c r="S179" i="1" s="1"/>
  <c r="T179" i="1"/>
  <c r="U179" i="1" s="1"/>
  <c r="R181" i="1"/>
  <c r="S181" i="1" s="1"/>
  <c r="V181" i="1"/>
  <c r="W181" i="1" s="1"/>
  <c r="T181" i="1"/>
  <c r="U181" i="1" s="1"/>
  <c r="P181" i="1"/>
  <c r="Q181" i="1" s="1"/>
  <c r="L181" i="1"/>
  <c r="M181" i="1" s="1"/>
  <c r="J181" i="1"/>
  <c r="K181" i="1" s="1"/>
  <c r="N181" i="1"/>
  <c r="O181" i="1" s="1"/>
  <c r="H181" i="1"/>
  <c r="I181" i="1" s="1"/>
  <c r="P184" i="1"/>
  <c r="Q184" i="1" s="1"/>
  <c r="N184" i="1"/>
  <c r="O184" i="1" s="1"/>
  <c r="L184" i="1"/>
  <c r="M184" i="1" s="1"/>
  <c r="J184" i="1"/>
  <c r="K184" i="1" s="1"/>
  <c r="H184" i="1"/>
  <c r="I184" i="1" s="1"/>
  <c r="T184" i="1"/>
  <c r="U184" i="1" s="1"/>
  <c r="V184" i="1"/>
  <c r="W184" i="1" s="1"/>
  <c r="R184" i="1"/>
  <c r="S184" i="1" s="1"/>
  <c r="H180" i="1"/>
  <c r="I180" i="1" s="1"/>
  <c r="V180" i="1"/>
  <c r="W180" i="1" s="1"/>
  <c r="J180" i="1"/>
  <c r="K180" i="1" s="1"/>
  <c r="T180" i="1"/>
  <c r="U180" i="1" s="1"/>
  <c r="R180" i="1"/>
  <c r="S180" i="1" s="1"/>
  <c r="P180" i="1"/>
  <c r="Q180" i="1" s="1"/>
  <c r="N180" i="1"/>
  <c r="O180" i="1" s="1"/>
  <c r="L180" i="1"/>
  <c r="M180" i="1" s="1"/>
  <c r="T182" i="1"/>
  <c r="U182" i="1" s="1"/>
  <c r="R182" i="1"/>
  <c r="S182" i="1" s="1"/>
  <c r="P182" i="1"/>
  <c r="Q182" i="1" s="1"/>
  <c r="N182" i="1"/>
  <c r="O182" i="1" s="1"/>
  <c r="L182" i="1"/>
  <c r="M182" i="1" s="1"/>
  <c r="J182" i="1"/>
  <c r="K182" i="1" s="1"/>
  <c r="P183" i="1"/>
  <c r="Q183" i="1" s="1"/>
  <c r="N183" i="1"/>
  <c r="O183" i="1" s="1"/>
  <c r="L183" i="1"/>
  <c r="M183" i="1" s="1"/>
  <c r="H183" i="1"/>
  <c r="I183" i="1" s="1"/>
  <c r="J183" i="1"/>
  <c r="K183" i="1" s="1"/>
  <c r="R183" i="1"/>
  <c r="S183" i="1" s="1"/>
  <c r="V183" i="1"/>
  <c r="W183" i="1" s="1"/>
  <c r="T183" i="1"/>
  <c r="U183" i="1" s="1"/>
  <c r="K133" i="1" l="1"/>
  <c r="G407" i="1"/>
  <c r="O712" i="1" l="1"/>
  <c r="G324" i="1" l="1"/>
  <c r="L357" i="1" l="1"/>
  <c r="M357" i="1" s="1"/>
  <c r="N357" i="1"/>
  <c r="O357" i="1" s="1"/>
  <c r="P357" i="1"/>
  <c r="Q357" i="1" s="1"/>
  <c r="R357" i="1"/>
  <c r="S357" i="1" s="1"/>
  <c r="T357" i="1"/>
  <c r="U357" i="1" s="1"/>
  <c r="V357" i="1"/>
  <c r="W357" i="1" s="1"/>
  <c r="G700" i="1"/>
  <c r="G546" i="1" l="1"/>
  <c r="G545" i="1" l="1"/>
  <c r="G535" i="1" l="1"/>
  <c r="G530" i="1"/>
  <c r="G529" i="1" l="1"/>
  <c r="G280" i="1" l="1"/>
  <c r="G277" i="1"/>
  <c r="G260" i="1" l="1"/>
  <c r="G255" i="1"/>
  <c r="G616" i="1" l="1"/>
  <c r="G617" i="1"/>
  <c r="G516" i="1" l="1"/>
  <c r="G212" i="1" l="1"/>
  <c r="G211" i="1" l="1"/>
  <c r="G227" i="1"/>
  <c r="G587" i="1" l="1"/>
  <c r="G586" i="1"/>
  <c r="G373" i="1" l="1"/>
  <c r="G259" i="1" l="1"/>
  <c r="G183" i="1" l="1"/>
  <c r="G184" i="1"/>
  <c r="G180" i="1" l="1"/>
  <c r="G182" i="1"/>
  <c r="G181" i="1"/>
  <c r="G179" i="1"/>
  <c r="G176" i="1"/>
  <c r="G173" i="1"/>
  <c r="G442" i="1" l="1"/>
  <c r="G311" i="1" l="1"/>
  <c r="W622" i="1" l="1"/>
  <c r="U622" i="1"/>
  <c r="S622" i="1"/>
  <c r="Q622" i="1"/>
  <c r="O622" i="1"/>
  <c r="M622" i="1"/>
  <c r="K622" i="1"/>
  <c r="I622" i="1"/>
  <c r="W555" i="1" l="1"/>
  <c r="U555" i="1"/>
  <c r="S555" i="1"/>
  <c r="Q555" i="1"/>
  <c r="O555" i="1"/>
  <c r="M555" i="1"/>
  <c r="K555" i="1"/>
  <c r="I555" i="1"/>
  <c r="W37" i="1" l="1"/>
  <c r="U37" i="1"/>
  <c r="S37" i="1"/>
  <c r="Q37" i="1"/>
  <c r="O37" i="1"/>
  <c r="G60" i="1"/>
  <c r="U13" i="1"/>
  <c r="G435" i="1" l="1"/>
  <c r="G285" i="1"/>
  <c r="G279" i="1" l="1"/>
  <c r="G534" i="1" l="1"/>
  <c r="G533" i="1" l="1"/>
  <c r="G194" i="1"/>
  <c r="G193" i="1"/>
  <c r="G190" i="1"/>
  <c r="W185" i="1"/>
  <c r="U185" i="1"/>
  <c r="S185" i="1"/>
  <c r="Q185" i="1"/>
  <c r="O185" i="1"/>
  <c r="G192" i="1" l="1"/>
  <c r="G191" i="1"/>
  <c r="W190" i="1"/>
  <c r="G195" i="1"/>
  <c r="G597" i="1"/>
  <c r="I715" i="1" l="1"/>
  <c r="I714" i="1"/>
  <c r="I712" i="1"/>
  <c r="I713" i="1"/>
  <c r="W712" i="1"/>
  <c r="U712" i="1"/>
  <c r="S712" i="1"/>
  <c r="Q712" i="1"/>
  <c r="M712" i="1"/>
  <c r="K712" i="1"/>
  <c r="W554" i="1" l="1"/>
  <c r="U554" i="1" l="1"/>
  <c r="I554" i="1"/>
  <c r="M554" i="1"/>
  <c r="Q554" i="1"/>
  <c r="K554" i="1"/>
  <c r="O554" i="1"/>
  <c r="S554" i="1"/>
  <c r="G532" i="1" l="1"/>
  <c r="G531" i="1"/>
  <c r="K330" i="1" l="1"/>
  <c r="I515" i="1" l="1"/>
  <c r="G258" i="1" l="1"/>
  <c r="G592" i="1" l="1"/>
  <c r="G608" i="1" l="1"/>
  <c r="G601" i="1"/>
  <c r="G607" i="1"/>
  <c r="G579" i="1" l="1"/>
  <c r="G571" i="1" l="1"/>
  <c r="G584" i="1"/>
  <c r="G572" i="1" l="1"/>
  <c r="G583" i="1"/>
  <c r="G575" i="1"/>
  <c r="I567" i="1"/>
  <c r="G606" i="1"/>
  <c r="G599" i="1"/>
  <c r="G598" i="1"/>
  <c r="G591" i="1"/>
  <c r="G590" i="1"/>
  <c r="G589" i="1"/>
  <c r="G588" i="1"/>
  <c r="G574" i="1"/>
  <c r="G567" i="1"/>
  <c r="G295" i="1" l="1"/>
  <c r="G412" i="1" l="1"/>
  <c r="G294" i="1" l="1"/>
  <c r="G325" i="1"/>
  <c r="G306" i="1"/>
  <c r="G304" i="1"/>
  <c r="G305" i="1"/>
  <c r="I17" i="1"/>
  <c r="I18" i="1"/>
  <c r="G18" i="1"/>
  <c r="G17" i="1"/>
  <c r="N18" i="1"/>
  <c r="G47" i="1"/>
  <c r="G46" i="1"/>
  <c r="W45" i="1"/>
  <c r="U45" i="1"/>
  <c r="S45" i="1"/>
  <c r="Q45" i="1"/>
  <c r="O45" i="1"/>
  <c r="G45" i="1"/>
  <c r="G130" i="1"/>
  <c r="G234" i="1" l="1"/>
  <c r="G415" i="1" l="1"/>
  <c r="G698" i="1" l="1"/>
  <c r="G693" i="1" l="1"/>
  <c r="K695" i="1"/>
  <c r="G695" i="1"/>
  <c r="G451" i="1" l="1"/>
  <c r="G450" i="1"/>
  <c r="Q57" i="1" l="1"/>
  <c r="M57" i="1"/>
  <c r="K57" i="1"/>
  <c r="W57" i="1"/>
  <c r="U57" i="1"/>
  <c r="S57" i="1"/>
  <c r="O57" i="1"/>
  <c r="G57" i="1"/>
  <c r="G353" i="1" l="1"/>
  <c r="G376" i="1" l="1"/>
  <c r="G302" i="1"/>
  <c r="G243" i="1" l="1"/>
  <c r="G246" i="1"/>
  <c r="G249" i="1" l="1"/>
  <c r="I708" i="1" l="1"/>
  <c r="K708" i="1"/>
  <c r="W708" i="1"/>
  <c r="U708" i="1"/>
  <c r="S708" i="1"/>
  <c r="Q708" i="1"/>
  <c r="O708" i="1"/>
  <c r="M708" i="1"/>
  <c r="W707" i="1"/>
  <c r="U707" i="1"/>
  <c r="S707" i="1"/>
  <c r="Q707" i="1"/>
  <c r="O707" i="1"/>
  <c r="M707" i="1"/>
  <c r="S713" i="1"/>
  <c r="U713" i="1"/>
  <c r="W713" i="1"/>
  <c r="S714" i="1"/>
  <c r="U714" i="1"/>
  <c r="W714" i="1"/>
  <c r="S715" i="1"/>
  <c r="U715" i="1"/>
  <c r="W715" i="1"/>
  <c r="Q715" i="1"/>
  <c r="O715" i="1"/>
  <c r="M715" i="1"/>
  <c r="K715" i="1"/>
  <c r="M126" i="1" l="1"/>
  <c r="M122" i="1"/>
  <c r="M121" i="1"/>
  <c r="M117" i="1"/>
  <c r="M116" i="1"/>
  <c r="O109" i="1"/>
  <c r="O108" i="1"/>
  <c r="Q74" i="1" l="1"/>
  <c r="Q73" i="1"/>
  <c r="Q71" i="1"/>
  <c r="Q69" i="1"/>
  <c r="Q70" i="1"/>
  <c r="W686" i="1" l="1"/>
  <c r="U686" i="1"/>
  <c r="S686" i="1"/>
  <c r="Q686" i="1"/>
  <c r="O686" i="1"/>
  <c r="M686" i="1"/>
  <c r="W515" i="1"/>
  <c r="U515" i="1"/>
  <c r="S515" i="1"/>
  <c r="Q515" i="1"/>
  <c r="O515" i="1"/>
  <c r="M515" i="1"/>
  <c r="K515" i="1"/>
  <c r="Q471" i="1"/>
  <c r="Q448" i="1"/>
  <c r="Q446" i="1"/>
  <c r="G682" i="1" l="1"/>
  <c r="G681" i="1"/>
  <c r="Q126" i="1" l="1"/>
  <c r="Q122" i="1"/>
  <c r="Q121" i="1"/>
  <c r="Q117" i="1"/>
  <c r="Q116" i="1"/>
  <c r="Q109" i="1"/>
  <c r="Q108" i="1"/>
  <c r="Q107" i="1"/>
  <c r="Q106" i="1"/>
  <c r="K53" i="1"/>
  <c r="Q53" i="1"/>
  <c r="Q129" i="1" l="1"/>
  <c r="Q48" i="1" l="1"/>
  <c r="Q42" i="1"/>
  <c r="Q40" i="1"/>
  <c r="Q39" i="1"/>
  <c r="Q36" i="1"/>
  <c r="Q31" i="1"/>
  <c r="G551" i="1" l="1"/>
  <c r="G241" i="1"/>
  <c r="G265" i="1" l="1"/>
  <c r="G222" i="1"/>
  <c r="G458" i="1" l="1"/>
  <c r="G410" i="1" l="1"/>
  <c r="G445" i="1"/>
  <c r="G299" i="1"/>
  <c r="G381" i="1"/>
  <c r="Q146" i="1"/>
  <c r="Q145" i="1"/>
  <c r="W40" i="1"/>
  <c r="G133" i="1" l="1"/>
  <c r="G283" i="1" l="1"/>
  <c r="G199" i="1"/>
  <c r="G409" i="1" l="1"/>
  <c r="O71" i="1" l="1"/>
  <c r="G217" i="1"/>
  <c r="G300" i="1" l="1"/>
  <c r="W69" i="1" l="1"/>
  <c r="U69" i="1"/>
  <c r="S69" i="1"/>
  <c r="O69" i="1"/>
  <c r="G297" i="1"/>
  <c r="G394" i="1" l="1"/>
  <c r="G165" i="1" l="1"/>
  <c r="G357" i="1" l="1"/>
  <c r="G699" i="1"/>
  <c r="G701" i="1"/>
  <c r="G455" i="1" l="1"/>
  <c r="G536" i="1" l="1"/>
  <c r="G41" i="1" l="1"/>
  <c r="U40" i="1"/>
  <c r="S40" i="1"/>
  <c r="O40" i="1"/>
  <c r="G40" i="1"/>
  <c r="I629" i="1" l="1"/>
  <c r="G268" i="1" l="1"/>
  <c r="G276" i="1" l="1"/>
  <c r="G269" i="1"/>
  <c r="G168" i="1" l="1"/>
  <c r="V98" i="1" l="1"/>
  <c r="T98" i="1"/>
  <c r="R98" i="1"/>
  <c r="N98" i="1"/>
  <c r="K98" i="1"/>
  <c r="G423" i="1" l="1"/>
  <c r="G543" i="1" l="1"/>
  <c r="G218" i="1" l="1"/>
  <c r="G501" i="1" l="1"/>
  <c r="G426" i="1"/>
  <c r="I742" i="1" l="1"/>
  <c r="M129" i="1"/>
  <c r="W126" i="1"/>
  <c r="W122" i="1"/>
  <c r="W121" i="1"/>
  <c r="W117" i="1"/>
  <c r="W116" i="1"/>
  <c r="U122" i="1"/>
  <c r="U121" i="1"/>
  <c r="U117" i="1"/>
  <c r="U116" i="1"/>
  <c r="S126" i="1"/>
  <c r="S122" i="1"/>
  <c r="S117" i="1"/>
  <c r="S116" i="1"/>
  <c r="O117" i="1"/>
  <c r="O121" i="1"/>
  <c r="O122" i="1"/>
  <c r="O126" i="1"/>
  <c r="O116" i="1"/>
  <c r="W106" i="1"/>
  <c r="W107" i="1"/>
  <c r="W108" i="1"/>
  <c r="W109" i="1"/>
  <c r="U106" i="1"/>
  <c r="U107" i="1"/>
  <c r="U108" i="1"/>
  <c r="U109" i="1"/>
  <c r="S106" i="1"/>
  <c r="S107" i="1"/>
  <c r="S108" i="1"/>
  <c r="S109" i="1"/>
  <c r="W129" i="1" l="1"/>
  <c r="G553" i="1" l="1"/>
  <c r="G552" i="1"/>
  <c r="G539" i="1"/>
  <c r="G541" i="1"/>
  <c r="G549" i="1"/>
  <c r="G548" i="1"/>
  <c r="G493" i="1" l="1"/>
  <c r="G298" i="1" l="1"/>
  <c r="G323" i="1"/>
  <c r="G301" i="1"/>
  <c r="G322" i="1" l="1"/>
  <c r="G233" i="1" l="1"/>
  <c r="G10" i="1"/>
  <c r="G224" i="1" l="1"/>
  <c r="G686" i="1" l="1"/>
  <c r="G225" i="1" l="1"/>
  <c r="O36" i="1"/>
  <c r="G198" i="1" l="1"/>
  <c r="G675" i="1" l="1"/>
  <c r="G677" i="1"/>
  <c r="G676" i="1"/>
  <c r="G413" i="1" l="1"/>
  <c r="G414" i="1"/>
  <c r="S42" i="1" l="1"/>
  <c r="G491" i="1" l="1"/>
  <c r="G697" i="1" l="1"/>
  <c r="G694" i="1"/>
  <c r="G288" i="1"/>
  <c r="G226" i="1"/>
  <c r="G223" i="1"/>
  <c r="G221" i="1"/>
  <c r="G215" i="1"/>
  <c r="G216" i="1"/>
  <c r="G214" i="1"/>
  <c r="G105" i="1"/>
  <c r="G64" i="1"/>
  <c r="G24" i="1"/>
  <c r="G22" i="1"/>
  <c r="G23" i="1"/>
  <c r="G406" i="1" l="1"/>
  <c r="U446" i="1" l="1"/>
  <c r="S446" i="1"/>
  <c r="M446" i="1"/>
  <c r="O446" i="1"/>
  <c r="G446" i="1"/>
  <c r="J499" i="1" l="1"/>
  <c r="J496" i="1"/>
  <c r="J495" i="1"/>
  <c r="J494" i="1"/>
  <c r="J498" i="1"/>
  <c r="J493" i="1"/>
  <c r="G21" i="1" l="1"/>
  <c r="G448" i="1"/>
  <c r="M448" i="1"/>
  <c r="O448" i="1"/>
  <c r="S448" i="1"/>
  <c r="U448" i="1"/>
  <c r="G161" i="1"/>
  <c r="G26" i="1" l="1"/>
  <c r="G542" i="1" l="1"/>
  <c r="G54" i="1" l="1"/>
  <c r="G56" i="1"/>
  <c r="O31" i="1"/>
  <c r="G58" i="1"/>
  <c r="U31" i="1" l="1"/>
  <c r="G209" i="1"/>
  <c r="G29" i="1" l="1"/>
  <c r="G327" i="1"/>
  <c r="O129" i="1"/>
  <c r="S129" i="1"/>
  <c r="U129" i="1"/>
  <c r="G315" i="1" l="1"/>
  <c r="G13" i="1" l="1"/>
  <c r="G517" i="1" l="1"/>
  <c r="G149" i="1" l="1"/>
  <c r="G12" i="1"/>
  <c r="G20" i="1"/>
  <c r="G31" i="1"/>
  <c r="S31" i="1"/>
  <c r="W31" i="1"/>
  <c r="G32" i="1"/>
  <c r="G33" i="1"/>
  <c r="G34" i="1"/>
  <c r="G35" i="1"/>
  <c r="G36" i="1"/>
  <c r="S36" i="1"/>
  <c r="U36" i="1"/>
  <c r="W36" i="1"/>
  <c r="G37" i="1"/>
  <c r="G38" i="1"/>
  <c r="G39" i="1"/>
  <c r="O39" i="1"/>
  <c r="S39" i="1"/>
  <c r="U39" i="1"/>
  <c r="W39" i="1"/>
  <c r="G42" i="1"/>
  <c r="O42" i="1"/>
  <c r="U42" i="1"/>
  <c r="W42" i="1"/>
  <c r="G43" i="1"/>
  <c r="G44" i="1"/>
  <c r="G48" i="1"/>
  <c r="O48" i="1"/>
  <c r="S48" i="1"/>
  <c r="U48" i="1"/>
  <c r="W48" i="1"/>
  <c r="G49" i="1"/>
  <c r="G50" i="1"/>
  <c r="G53" i="1"/>
  <c r="M53" i="1"/>
  <c r="O53" i="1"/>
  <c r="S53" i="1"/>
  <c r="U53" i="1"/>
  <c r="W53" i="1"/>
  <c r="G55" i="1"/>
  <c r="G59" i="1"/>
  <c r="G65" i="1"/>
  <c r="O70" i="1"/>
  <c r="S70" i="1"/>
  <c r="U70" i="1"/>
  <c r="W70" i="1"/>
  <c r="S71" i="1"/>
  <c r="U71" i="1"/>
  <c r="W71" i="1"/>
  <c r="M73" i="1"/>
  <c r="O73" i="1"/>
  <c r="S73" i="1"/>
  <c r="U73" i="1"/>
  <c r="M74" i="1"/>
  <c r="O74" i="1"/>
  <c r="S74" i="1"/>
  <c r="U74" i="1"/>
  <c r="G95" i="1"/>
  <c r="K95" i="1"/>
  <c r="M95" i="1"/>
  <c r="N95" i="1"/>
  <c r="G96" i="1"/>
  <c r="G97" i="1"/>
  <c r="G98" i="1"/>
  <c r="G99" i="1"/>
  <c r="G101" i="1"/>
  <c r="G102" i="1"/>
  <c r="G104" i="1"/>
  <c r="G129" i="1"/>
  <c r="G141" i="1"/>
  <c r="Q141" i="1"/>
  <c r="G142" i="1"/>
  <c r="Q142" i="1"/>
  <c r="G145" i="1"/>
  <c r="G146" i="1"/>
  <c r="G163" i="1"/>
  <c r="G164" i="1"/>
  <c r="G189" i="1"/>
  <c r="G196" i="1"/>
  <c r="G202" i="1"/>
  <c r="G220" i="1"/>
  <c r="G228" i="1"/>
  <c r="G229" i="1"/>
  <c r="M229" i="1"/>
  <c r="P229" i="1"/>
  <c r="G230" i="1"/>
  <c r="G231" i="1"/>
  <c r="G232" i="1"/>
  <c r="G242" i="1"/>
  <c r="G267" i="1"/>
  <c r="G282" i="1"/>
  <c r="G284" i="1"/>
  <c r="G678" i="1"/>
  <c r="G679" i="1"/>
  <c r="G328" i="1"/>
  <c r="G330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4" i="1"/>
  <c r="G355" i="1"/>
  <c r="G356" i="1"/>
  <c r="G358" i="1"/>
  <c r="G359" i="1"/>
  <c r="G363" i="1"/>
  <c r="G364" i="1"/>
  <c r="G367" i="1"/>
  <c r="G368" i="1"/>
  <c r="G378" i="1"/>
  <c r="G379" i="1"/>
  <c r="G380" i="1"/>
  <c r="G382" i="1"/>
  <c r="G388" i="1"/>
  <c r="G390" i="1"/>
  <c r="G393" i="1"/>
  <c r="G395" i="1"/>
  <c r="G401" i="1"/>
  <c r="G404" i="1"/>
  <c r="G405" i="1"/>
  <c r="G420" i="1"/>
  <c r="G425" i="1"/>
  <c r="G427" i="1"/>
  <c r="G449" i="1"/>
  <c r="G456" i="1"/>
  <c r="G471" i="1"/>
  <c r="O471" i="1"/>
  <c r="S471" i="1"/>
  <c r="U471" i="1"/>
  <c r="W471" i="1"/>
  <c r="G472" i="1"/>
  <c r="G473" i="1"/>
  <c r="G474" i="1"/>
  <c r="G475" i="1"/>
  <c r="G488" i="1"/>
  <c r="G489" i="1"/>
  <c r="G494" i="1"/>
  <c r="G495" i="1"/>
  <c r="G496" i="1"/>
  <c r="G498" i="1"/>
  <c r="G499" i="1"/>
  <c r="G502" i="1"/>
  <c r="G503" i="1"/>
  <c r="G504" i="1"/>
  <c r="G506" i="1"/>
  <c r="G507" i="1"/>
  <c r="G510" i="1"/>
  <c r="G511" i="1"/>
  <c r="G515" i="1"/>
  <c r="G547" i="1"/>
  <c r="G689" i="1"/>
  <c r="M689" i="1"/>
  <c r="O689" i="1"/>
  <c r="Q689" i="1"/>
  <c r="S689" i="1"/>
  <c r="U689" i="1"/>
  <c r="M705" i="1"/>
  <c r="O705" i="1"/>
  <c r="S705" i="1"/>
  <c r="U705" i="1"/>
  <c r="W705" i="1"/>
  <c r="K706" i="1"/>
  <c r="M706" i="1"/>
  <c r="O706" i="1"/>
  <c r="Q706" i="1"/>
  <c r="S706" i="1"/>
  <c r="U706" i="1"/>
  <c r="W706" i="1"/>
  <c r="K713" i="1"/>
  <c r="M713" i="1"/>
  <c r="O713" i="1"/>
  <c r="Q713" i="1"/>
  <c r="K714" i="1"/>
  <c r="M714" i="1"/>
  <c r="O714" i="1"/>
  <c r="Q714" i="1"/>
  <c r="M717" i="1"/>
  <c r="Q717" i="1"/>
  <c r="I741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523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52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2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2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3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4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3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6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3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8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4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5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5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675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76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77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78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79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80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</commentList>
</comments>
</file>

<file path=xl/sharedStrings.xml><?xml version="1.0" encoding="utf-8"?>
<sst xmlns="http://schemas.openxmlformats.org/spreadsheetml/2006/main" count="1204" uniqueCount="992">
  <si>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</si>
  <si>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</si>
  <si>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</si>
  <si>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</si>
  <si>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</si>
  <si>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</si>
  <si>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</si>
  <si>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</si>
  <si>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</si>
  <si>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</si>
  <si>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</si>
  <si>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</si>
  <si>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</si>
  <si>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</si>
  <si>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</si>
  <si>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</si>
  <si>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</si>
  <si>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</si>
  <si>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</si>
  <si>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</si>
  <si>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</si>
  <si>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</si>
  <si>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</si>
  <si>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</si>
  <si>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</si>
  <si>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</si>
  <si>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</si>
  <si>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</si>
  <si>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</si>
  <si>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</si>
  <si>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</si>
  <si>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</si>
  <si>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</si>
  <si>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</si>
  <si>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</si>
  <si>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</si>
  <si>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</si>
  <si>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</si>
  <si>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</si>
  <si>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</si>
  <si>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</si>
  <si>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</si>
  <si>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</si>
  <si>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</si>
  <si>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</si>
  <si>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</si>
  <si>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</si>
  <si>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</si>
  <si>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</si>
  <si>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</si>
  <si>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</si>
  <si>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</si>
  <si>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</si>
  <si>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</si>
  <si>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</si>
  <si>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</si>
  <si>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</si>
  <si>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</si>
  <si>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</si>
  <si>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</si>
  <si>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</si>
  <si>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</si>
  <si>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</si>
  <si>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</si>
  <si>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</si>
  <si>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</si>
  <si>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</si>
  <si>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</si>
  <si>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</si>
  <si>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</si>
  <si>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</si>
  <si>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</si>
  <si>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</si>
  <si>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</si>
  <si>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</si>
  <si>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</si>
  <si>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</si>
  <si>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</si>
  <si>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</si>
  <si>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</si>
  <si>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</si>
  <si>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</si>
  <si>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</si>
  <si>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</si>
  <si>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</si>
  <si>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</si>
  <si>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</si>
  <si>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</si>
  <si>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</si>
  <si>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</si>
  <si>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</si>
  <si>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</si>
  <si>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</si>
  <si>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</si>
  <si>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</si>
  <si>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</si>
  <si>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</si>
  <si>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</si>
  <si>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</si>
  <si>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</si>
  <si>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</si>
  <si>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</si>
  <si>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</si>
  <si>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</si>
  <si>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</si>
  <si>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</si>
  <si>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</si>
  <si>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</si>
  <si>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</si>
  <si>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</si>
  <si>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</si>
  <si>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</si>
  <si>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</si>
  <si>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</si>
  <si>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</si>
  <si>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</si>
  <si>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</si>
  <si>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</si>
  <si>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</si>
  <si>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</si>
  <si>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</si>
  <si>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</si>
  <si>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</si>
  <si>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</si>
  <si>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</si>
  <si>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</si>
  <si>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</si>
  <si>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</si>
  <si>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</si>
  <si>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</si>
  <si>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</si>
  <si>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</si>
  <si>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</si>
  <si>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</si>
  <si>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</si>
  <si>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</si>
  <si>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</si>
  <si>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</si>
  <si>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</si>
  <si>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</si>
  <si>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</si>
  <si>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</si>
  <si>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</si>
  <si>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</si>
  <si>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</si>
  <si>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</si>
  <si>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</si>
  <si>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</si>
  <si>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</si>
  <si>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</si>
  <si>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</si>
  <si>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</si>
  <si>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</si>
  <si>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</si>
  <si>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</si>
  <si>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</si>
  <si>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</si>
  <si>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</si>
  <si>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</si>
  <si>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</si>
  <si>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</si>
  <si>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</si>
  <si>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</si>
  <si>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</si>
  <si>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</si>
  <si>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</si>
  <si>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</si>
  <si>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</si>
  <si>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</si>
  <si>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</si>
  <si>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</si>
  <si>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</si>
  <si>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</si>
  <si>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</si>
  <si>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</si>
  <si>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</si>
  <si>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</si>
  <si>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</si>
  <si>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</si>
  <si>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</si>
  <si>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</si>
  <si>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</si>
  <si>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</si>
  <si>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</si>
  <si>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</si>
  <si>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</si>
  <si>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</si>
  <si>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</si>
  <si>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</si>
  <si>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</si>
  <si>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</si>
  <si>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</si>
  <si>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</si>
  <si>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</si>
  <si>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</si>
  <si>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</si>
  <si>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</si>
  <si>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</si>
  <si>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</si>
  <si>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</si>
  <si>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</si>
  <si>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</si>
  <si>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</si>
  <si>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</si>
  <si>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</si>
  <si>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</si>
  <si>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</si>
  <si>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</si>
  <si>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</si>
  <si>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</si>
  <si>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</si>
  <si>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</si>
  <si>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</si>
  <si>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</si>
  <si>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</si>
  <si>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</si>
  <si>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</si>
  <si>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</si>
  <si>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</si>
  <si>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</si>
  <si>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</si>
  <si>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</si>
  <si>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</si>
  <si>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</si>
  <si>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</si>
  <si>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</si>
  <si>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</si>
  <si>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</si>
  <si>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</si>
  <si>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</si>
  <si>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</si>
  <si>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</si>
  <si>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</si>
  <si>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</si>
  <si>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</si>
  <si>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</si>
  <si>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</si>
  <si>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</si>
  <si>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</si>
  <si>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</si>
  <si>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</si>
  <si>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</si>
  <si>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</si>
  <si>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</si>
  <si>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</si>
  <si>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</si>
  <si>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</si>
  <si>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</si>
  <si>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</si>
  <si>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</si>
  <si>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</si>
  <si>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</si>
  <si>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</si>
  <si>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</si>
  <si>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</si>
  <si>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</si>
  <si>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</si>
  <si>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</si>
  <si>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</si>
  <si>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</si>
  <si>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</si>
  <si>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</si>
  <si>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</si>
  <si>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</si>
  <si>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</si>
  <si>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</si>
  <si>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</si>
  <si>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</si>
  <si>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</si>
  <si>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</si>
  <si>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</si>
  <si>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</si>
  <si>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</si>
  <si>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</si>
  <si>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</si>
  <si>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</si>
  <si>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</si>
  <si>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</si>
  <si>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</si>
  <si>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</si>
  <si>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</si>
  <si>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</si>
  <si>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</si>
  <si>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</si>
  <si>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</si>
  <si>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</si>
  <si>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x200</t>
  </si>
  <si>
    <t>IP-T19 - Taza de vidrio esmerilado mate</t>
  </si>
  <si>
    <t xml:space="preserve">IP-T21 - Vaso Whisky vidrio esmerilado mate 300ml      </t>
  </si>
  <si>
    <t>00986 - Set asado simple  (con plato y cubiertos)</t>
  </si>
  <si>
    <t>00989 - Estuche asado simple  (sin plato y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</si>
  <si>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</si>
  <si>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</si>
  <si>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</si>
  <si>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</si>
  <si>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</si>
  <si>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</si>
  <si>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</si>
  <si>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</si>
  <si>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</si>
  <si>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</si>
  <si>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</si>
  <si>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</si>
  <si>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</si>
  <si>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</si>
  <si>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</si>
  <si>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</si>
  <si>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</si>
  <si>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</si>
  <si>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</si>
  <si>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</si>
  <si>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</si>
  <si>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</si>
  <si>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</si>
  <si>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</si>
  <si>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</si>
  <si>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</si>
  <si>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</si>
  <si>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</si>
  <si>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</si>
  <si>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</si>
  <si>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</si>
  <si>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</si>
  <si>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</si>
  <si>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</si>
  <si>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</si>
  <si>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</si>
  <si>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</si>
  <si>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</si>
  <si>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</si>
  <si>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</si>
  <si>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</si>
  <si>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</si>
  <si>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</si>
  <si>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</si>
  <si>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</si>
  <si>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</si>
  <si>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</si>
  <si>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</si>
  <si>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</si>
  <si>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</si>
  <si>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</si>
  <si>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</si>
  <si>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</si>
  <si>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</si>
  <si>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</si>
  <si>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</si>
  <si>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</si>
  <si>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</si>
  <si>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</si>
  <si>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</si>
  <si>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</si>
  <si>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</si>
  <si>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</si>
  <si>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</si>
  <si>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</si>
  <si>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</si>
  <si>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</si>
  <si>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</si>
  <si>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</si>
  <si>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</si>
  <si>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</si>
  <si>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</si>
  <si>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</si>
  <si>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</si>
  <si>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</si>
  <si>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</si>
  <si>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</si>
  <si>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</si>
  <si>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</si>
  <si>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</si>
  <si>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</si>
  <si>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</si>
  <si>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</si>
  <si>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</si>
  <si>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</si>
  <si>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</si>
  <si>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</si>
  <si>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</si>
  <si>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</si>
  <si>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</si>
  <si>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</si>
  <si>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</si>
  <si>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</si>
  <si>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</si>
  <si>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</si>
  <si>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</si>
  <si>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</si>
  <si>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</si>
  <si>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</si>
  <si>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</si>
  <si>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</si>
  <si>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</si>
  <si>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</si>
  <si>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</si>
  <si>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</si>
  <si>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t>00089 - Billetera Gastronómica (imp. 2 lados) abierta 16x16cm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</si>
  <si>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</si>
  <si>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</si>
  <si>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</si>
  <si>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</si>
  <si>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</si>
  <si>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</si>
  <si>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</si>
  <si>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</si>
  <si>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</si>
  <si>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</si>
  <si>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</si>
  <si>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</si>
  <si>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</si>
  <si>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</si>
  <si>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</si>
  <si>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</si>
  <si>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</si>
  <si>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</si>
  <si>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</si>
  <si>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</si>
  <si>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</si>
  <si>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</si>
  <si>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</si>
  <si>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</si>
  <si>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</si>
  <si>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</si>
  <si>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</si>
  <si>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</si>
  <si>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</si>
  <si>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</si>
  <si>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</si>
  <si>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</si>
  <si>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</si>
  <si>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</si>
  <si>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</si>
  <si>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</si>
  <si>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</si>
  <si>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</si>
  <si>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</si>
  <si>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</si>
  <si>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</si>
  <si>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</si>
  <si>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</si>
  <si>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</si>
  <si>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</si>
  <si>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</si>
  <si>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</si>
  <si>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</si>
  <si>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</si>
  <si>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</si>
  <si>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</si>
  <si>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</si>
  <si>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</si>
  <si>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</si>
  <si>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</si>
  <si>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</si>
  <si>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</si>
  <si>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</si>
  <si>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</si>
  <si>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</si>
  <si>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</si>
  <si>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</si>
  <si>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</si>
  <si>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</si>
  <si>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</si>
  <si>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</si>
  <si>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</si>
  <si>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</si>
  <si>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</si>
  <si>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</si>
  <si>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</si>
  <si>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</si>
  <si>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</si>
  <si>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</si>
  <si>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</si>
  <si>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</si>
  <si>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</si>
  <si>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</si>
  <si>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</si>
  <si>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</si>
  <si>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</si>
  <si>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</si>
  <si>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</si>
  <si>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</si>
  <si>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</si>
  <si>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</si>
  <si>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</si>
  <si>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</si>
  <si>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</si>
  <si>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</si>
  <si>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</si>
  <si>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</si>
  <si>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</si>
  <si>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</si>
  <si>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</si>
  <si>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</si>
  <si>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</si>
  <si>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</si>
  <si>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</si>
  <si>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</si>
  <si>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</si>
  <si>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</si>
  <si>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</si>
  <si>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</si>
  <si>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</si>
  <si>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</si>
  <si>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</si>
  <si>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</si>
  <si>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</si>
  <si>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</si>
  <si>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</si>
  <si>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</si>
  <si>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</si>
  <si>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</si>
  <si>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</si>
  <si>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</si>
  <si>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</si>
  <si>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</si>
  <si>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</si>
  <si>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</si>
  <si>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</si>
  <si>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</si>
  <si>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</si>
  <si>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</si>
  <si>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</si>
  <si>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</si>
  <si>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</si>
  <si>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</si>
  <si>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</si>
  <si>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</si>
  <si>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</si>
  <si>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</si>
  <si>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</si>
  <si>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</si>
  <si>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</si>
  <si>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</si>
  <si>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</si>
  <si>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</si>
  <si>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</si>
  <si>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</si>
  <si>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</si>
  <si>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</si>
  <si>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</si>
  <si>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</si>
  <si>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</si>
  <si>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</si>
  <si>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</si>
  <si>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</si>
  <si>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</si>
  <si>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</si>
  <si>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</si>
  <si>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</si>
  <si>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</si>
  <si>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</si>
  <si>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</si>
  <si>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</si>
  <si>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</si>
  <si>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</si>
  <si>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</si>
  <si>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</si>
  <si>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</si>
  <si>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</si>
  <si>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</si>
  <si>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</si>
  <si>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</si>
  <si>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</si>
  <si>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</si>
  <si>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</si>
  <si>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</si>
  <si>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</si>
  <si>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</si>
  <si>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</si>
  <si>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</si>
  <si>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</si>
  <si>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</si>
  <si>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</si>
  <si>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</si>
  <si>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</si>
  <si>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</si>
  <si>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</si>
  <si>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</si>
  <si>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</si>
  <si>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</si>
  <si>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</si>
  <si>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</si>
  <si>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</si>
  <si>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00664 - Cooler FZN poliester 15 litros 34x31x14cm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</si>
  <si>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</si>
  <si>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</si>
  <si>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</si>
  <si>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</si>
  <si>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</si>
  <si>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</si>
  <si>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</si>
  <si>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</si>
  <si>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</si>
  <si>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</si>
  <si>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</si>
  <si>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</si>
  <si>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</si>
  <si>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</si>
  <si>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</si>
  <si>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</si>
  <si>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</si>
  <si>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</si>
  <si>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</si>
  <si>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</si>
  <si>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</si>
  <si>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</si>
  <si>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</si>
  <si>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</si>
  <si>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</si>
  <si>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</si>
  <si>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</si>
  <si>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</si>
  <si>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</si>
  <si>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</si>
  <si>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</si>
  <si>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</si>
  <si>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</si>
  <si>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</si>
  <si>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</si>
  <si>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</si>
  <si>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</si>
  <si>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</si>
  <si>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</si>
  <si>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</si>
  <si>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</si>
  <si>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</si>
  <si>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</si>
  <si>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</si>
  <si>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</si>
  <si>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</si>
  <si>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</si>
  <si>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LL-112 - Llavero de metal y bambu redondo con estuche</t>
  </si>
  <si>
    <t>LL-123</t>
  </si>
  <si>
    <t>LL-124</t>
  </si>
  <si>
    <t>LL-123 - Llavero de metal flag rectangular con estuche</t>
  </si>
  <si>
    <t>LL-124 - Llavero de metal cuadrado borde espejo c/estuche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</si>
  <si>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</si>
  <si>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</si>
  <si>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</si>
  <si>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</si>
  <si>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</si>
  <si>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10486 - Destapador de metal con tapón en caja</t>
  </si>
  <si>
    <t>10486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</si>
  <si>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</si>
  <si>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</si>
  <si>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</si>
  <si>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</si>
  <si>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</si>
  <si>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</si>
  <si>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</si>
  <si>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</si>
  <si>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</si>
  <si>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</si>
  <si>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</si>
  <si>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</si>
  <si>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</si>
  <si>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</si>
  <si>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</si>
  <si>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</si>
  <si>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</si>
  <si>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</si>
  <si>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</si>
  <si>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</si>
  <si>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</si>
  <si>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</si>
  <si>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</si>
  <si>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</si>
  <si>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</si>
  <si>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</si>
  <si>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</si>
  <si>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</si>
  <si>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</si>
  <si>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</si>
  <si>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</si>
  <si>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</si>
  <si>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</si>
  <si>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</si>
  <si>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</si>
  <si>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</si>
  <si>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</si>
  <si>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</si>
  <si>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</si>
  <si>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</si>
  <si>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</si>
  <si>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</si>
  <si>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</si>
  <si>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</si>
  <si>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</si>
  <si>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</si>
  <si>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</si>
  <si>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</si>
  <si>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</si>
  <si>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</si>
  <si>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</si>
  <si>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</si>
  <si>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</si>
  <si>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</si>
  <si>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</si>
  <si>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</si>
  <si>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</si>
  <si>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</si>
  <si>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</si>
  <si>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</si>
  <si>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</si>
  <si>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</si>
  <si>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00991</t>
  </si>
  <si>
    <t>00991 - Set parrillero grande premium 3 piezas en estuche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</si>
  <si>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</si>
  <si>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</si>
  <si>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</si>
  <si>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</si>
  <si>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</si>
  <si>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</si>
  <si>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</si>
  <si>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</si>
  <si>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</si>
  <si>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</si>
  <si>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</si>
  <si>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</si>
  <si>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</si>
  <si>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</si>
  <si>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</si>
  <si>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</si>
  <si>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</si>
  <si>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</si>
  <si>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</si>
  <si>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</si>
  <si>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</si>
  <si>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</si>
  <si>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</si>
  <si>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</si>
  <si>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</si>
  <si>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</si>
  <si>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</si>
  <si>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</si>
  <si>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</si>
  <si>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</si>
  <si>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</si>
  <si>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</si>
  <si>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</si>
  <si>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</si>
  <si>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</si>
  <si>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</si>
  <si>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</si>
  <si>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</si>
  <si>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</si>
  <si>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</si>
  <si>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</si>
  <si>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</si>
  <si>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 xml:space="preserve">00085-2 - Portapatente Modelo chico abierto blanco o negro            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</si>
  <si>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</si>
  <si>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</si>
  <si>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</si>
  <si>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</si>
  <si>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</si>
  <si>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</si>
  <si>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</si>
  <si>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</si>
  <si>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</si>
  <si>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</si>
  <si>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</si>
  <si>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</si>
  <si>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</si>
  <si>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</si>
  <si>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00085-2</t>
  </si>
  <si>
    <t>00085-1B</t>
  </si>
  <si>
    <t>00085-1N</t>
  </si>
  <si>
    <t>CE-M13</t>
  </si>
  <si>
    <t>IP-T12M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</si>
  <si>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</si>
  <si>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</si>
  <si>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</si>
  <si>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</si>
  <si>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</si>
  <si>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</si>
  <si>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</si>
  <si>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</si>
  <si>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</si>
  <si>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</si>
  <si>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</si>
  <si>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</si>
  <si>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</si>
  <si>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</si>
  <si>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</si>
  <si>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</si>
  <si>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00534 - Identificador de equipaje Travel Tag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</si>
  <si>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</si>
  <si>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</si>
  <si>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</si>
  <si>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</si>
  <si>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</si>
  <si>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</si>
  <si>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</si>
  <si>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</si>
  <si>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</si>
  <si>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</si>
  <si>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</si>
  <si>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</si>
  <si>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</si>
  <si>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</si>
  <si>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</si>
  <si>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</si>
  <si>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</si>
  <si>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</si>
  <si>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</si>
  <si>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</si>
  <si>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</si>
  <si>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</si>
  <si>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LL-101 - Llavero de aluminio con forma de CASA</t>
  </si>
  <si>
    <t>LL-101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</si>
  <si>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31 de julio de 2024. Muestras a disposición del cliente para verificar diseño.</t>
  </si>
  <si>
    <t>02503 - Tubo con 12 mini lápices de colores con saca puntas</t>
  </si>
  <si>
    <t>02504 - Cajita con 6 mini lápices de colores</t>
  </si>
  <si>
    <t xml:space="preserve">P5533 - Gorro Liso 5 gajos algodón y poliester con abrojo </t>
  </si>
  <si>
    <t>11610 - Repuesto de almanaque 2025</t>
  </si>
  <si>
    <t>11604 - Almanaque 2025 Paisajes 14 Hojas - Logo 1 color</t>
  </si>
  <si>
    <t>02247 - Set escolar Eco con regla lápices goma sacapuntas</t>
  </si>
  <si>
    <t>01026 - Botella de plástico 550ml tapa a rosca</t>
  </si>
  <si>
    <t>MÍNIMO 500 UNIDADES. PLAZO DE ENTREGA ENTRE 15 Y 25 DÍAS. INCLUYE IMPRESIÓN HASTA 2 COLORES DE AMBOS LADOS MISMO DISEÑO. CONSULTAR PRECIO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</si>
  <si>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</si>
  <si>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</si>
  <si>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</si>
  <si>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</si>
  <si>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</si>
  <si>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</si>
  <si>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</si>
  <si>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</si>
  <si>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</si>
  <si>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</si>
  <si>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</si>
  <si>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</si>
  <si>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</si>
  <si>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</si>
  <si>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</si>
  <si>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</si>
  <si>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</si>
  <si>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t>M043 - Cuchillo premium hoja 12 cm con tenedor funda cuero</t>
  </si>
  <si>
    <t>M110 - Cuchillo premium hoja 12 cm con funda de cuero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</si>
  <si>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</si>
  <si>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</si>
  <si>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</si>
  <si>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</si>
  <si>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</si>
  <si>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</si>
  <si>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47/01 - Set de asado cuhillo tenedor chaira y tabla en estuche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</si>
  <si>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</si>
  <si>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</si>
  <si>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</si>
  <si>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</si>
  <si>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</si>
  <si>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</si>
  <si>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</si>
  <si>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00994 - Set parrillero 4 piezas en estuche</t>
  </si>
  <si>
    <t>00994</t>
  </si>
  <si>
    <t>00085 - Portapatente cerrado blanco segunda selección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</si>
  <si>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</si>
  <si>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</si>
  <si>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</si>
  <si>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</si>
  <si>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</si>
  <si>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</si>
  <si>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</si>
  <si>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</si>
  <si>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</si>
  <si>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00590 - Bolso Tote poliester 16 litros</t>
  </si>
  <si>
    <t>IR A PAGINA 8</t>
  </si>
  <si>
    <t>02310 - Boligrafo metálico negro mate interior de color</t>
  </si>
  <si>
    <t>47/01</t>
  </si>
  <si>
    <t>02258 - Lápiz negro larga duracion realizado en bambú</t>
  </si>
  <si>
    <t>00966 - Cuaderno con set de notas y bolígrafo touch</t>
  </si>
  <si>
    <t>00682 - Neceser microfibra con gancho</t>
  </si>
  <si>
    <t>00613 - Mochila NOMAWALK® Dynamic 14 litros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</si>
  <si>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</si>
  <si>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</si>
  <si>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</si>
  <si>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</si>
  <si>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</si>
  <si>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00822 - Cuaderno BIG Eco cuero soft mate 25x17cm h. rayada</t>
  </si>
  <si>
    <t>00392 - Power Bank Flat 4000 mAh</t>
  </si>
  <si>
    <t>M-51 - Llavero metálico mate con cinta webbing</t>
  </si>
  <si>
    <t>LL-126 - Llavero metálico mate con cinta webbing</t>
  </si>
  <si>
    <t>LL-126</t>
  </si>
  <si>
    <t>LL-107 - Llavero de bambu rectangular</t>
  </si>
  <si>
    <t>LL-107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</si>
  <si>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</si>
  <si>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</si>
  <si>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</si>
  <si>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</si>
  <si>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</si>
  <si>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00575 - Bolsa mochila botinero Friselina 80 gramos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</si>
  <si>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</si>
  <si>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</si>
  <si>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</si>
  <si>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</si>
  <si>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</si>
  <si>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</si>
  <si>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02150 - Estuche tubo plástico para un bolígrafo</t>
  </si>
  <si>
    <t>CON LOGO IMPRESO</t>
  </si>
  <si>
    <t>LL-301 - Broche plástico para llavero con aro sin fin 20mm</t>
  </si>
  <si>
    <t>LL-300 - Broche plástico para llavero</t>
  </si>
  <si>
    <t>LL-300</t>
  </si>
  <si>
    <t>LL-301</t>
  </si>
  <si>
    <r>
      <t xml:space="preserve">02322TA - Bolígrafo metálico retráctil  </t>
    </r>
    <r>
      <rPr>
        <b/>
        <sz val="8"/>
        <color theme="7"/>
        <rFont val="Arial"/>
        <family val="2"/>
      </rPr>
      <t>TRAZO AZUL</t>
    </r>
  </si>
  <si>
    <t>00745 - Neceser HRT 17 x 9,8 x 8 cm</t>
  </si>
  <si>
    <t>10507 - Set de vino 4 elementos caja de bambú</t>
  </si>
  <si>
    <t>00993 - Tabla de bambú para quesos</t>
  </si>
  <si>
    <t>P5541 - Chomba pique blanca importada 100% poliester</t>
  </si>
  <si>
    <t>P5541</t>
  </si>
  <si>
    <t>P5542 - Chomba pique de color importada 100% poliester</t>
  </si>
  <si>
    <t>P5542</t>
  </si>
  <si>
    <t>P5547</t>
  </si>
  <si>
    <t>P5547 - Chomba 100% algodón 24/1 peinado blanca y color</t>
  </si>
  <si>
    <t xml:space="preserve">02341 - Set de bolígrafo y roller metálicos </t>
  </si>
  <si>
    <t>02271 - Bolígrafo plástico porta celular</t>
  </si>
  <si>
    <t>02272 - Bolígrafo touch plástico porta celular</t>
  </si>
  <si>
    <t>00927 - Memo stick con notas adhesivas de 5 colores</t>
  </si>
  <si>
    <t>01056 - Botella térmica de acero con tapa de bambú</t>
  </si>
  <si>
    <t>01066 - Botella vidrio borosilicato esmerilado tapa bambú</t>
  </si>
  <si>
    <t>00022 - Mate madera forrado aluminio con pintura bicapa</t>
  </si>
  <si>
    <t>00397 - Parlante bluetooth bambú 3w 300mAh</t>
  </si>
  <si>
    <t>00398 - Parlante bluetooth metálico 3w 300mAh</t>
  </si>
  <si>
    <t>00395 - Parlante pendolo plastico 3w 300mAh</t>
  </si>
  <si>
    <t>00704 - Mochila Canvas 20 litros porta notebook</t>
  </si>
  <si>
    <t xml:space="preserve">00381 - Soporte de escritorio para celular </t>
  </si>
  <si>
    <t>02322TA</t>
  </si>
  <si>
    <t>EL DESCUENTO ES ABONANDO EN EFECTIVO O TRANSFERENCIA BANCARIA. PAGO CON TARJETA APLICA 8% DE DESCUENTO Y ES EN FORMA PRESENCIAL</t>
  </si>
  <si>
    <t>00380 - Soporte de bambú de escritorio para celular</t>
  </si>
  <si>
    <t>00817 - Carpeta Portfolio eco cuero negro con cinta pasador</t>
  </si>
  <si>
    <t>00818 - Carpeta Portfolio eco cuero negro porta block</t>
  </si>
  <si>
    <t>10506 - Set de vino 3 elementos caja de madera</t>
  </si>
  <si>
    <t>00990 - Set de quesos de bambú</t>
  </si>
  <si>
    <t>01020 - Set de 4 posavasos con base de bambú</t>
  </si>
  <si>
    <t>00384 - Auriculares bluetooth V5.0</t>
  </si>
  <si>
    <t>00922 - Cuaderno PROMO Eco cuero 21x14 cm hoja rayada</t>
  </si>
  <si>
    <t>00430 - Pinza multifunción de metal y bambú 13 usos</t>
  </si>
  <si>
    <t>00431 - Multifunción de metal 11 usos</t>
  </si>
  <si>
    <t xml:space="preserve">00425 - Cutter grande cuerpo blanco </t>
  </si>
  <si>
    <t>02355 - Bolígrafo de aluminio mate y bambú</t>
  </si>
  <si>
    <t>02354 - Bolígrafo de aluminio mate y bambú grip calado</t>
  </si>
  <si>
    <t>00572-1 - Bolsa mochila botinero 100% poliéster 34x42cm</t>
  </si>
  <si>
    <t>00572 - Bolsa mochila botinero JMP 100% poliéster 34x44cm</t>
  </si>
  <si>
    <t>00760 - Cartuchera poliéster 600D 21x8,5x6,5cm</t>
  </si>
  <si>
    <t>00703 - Mochila MRD Eco Portanotebook 11 litros</t>
  </si>
  <si>
    <t xml:space="preserve">00556 - Riñonera deportiva impermeable reflectiva 23x5cm </t>
  </si>
  <si>
    <t>00394 - Power Bank multipuerto 5000mAh</t>
  </si>
  <si>
    <t>00393 - Power Bank 10000mAh</t>
  </si>
  <si>
    <t>00402 - Power Bank multipuerto 10000mAh</t>
  </si>
  <si>
    <t>00399 - Parlante bambú y RPET 3,7w Bluetooth 5.2 300mAh</t>
  </si>
  <si>
    <t>00285 - Llavero con luz</t>
  </si>
  <si>
    <t>00746 - Neceser SM transparente PVC con detalle de color</t>
  </si>
  <si>
    <t>02500 - Set de 12 lápices de colores en cajita</t>
  </si>
  <si>
    <t>02506 - Set de 6 crayones en cajita</t>
  </si>
  <si>
    <t>02240 - Lápiz All Black con punta con goma</t>
  </si>
  <si>
    <t>02507 - Tubo 12  lápices de colores all black con saca puntas</t>
  </si>
  <si>
    <t>P5551</t>
  </si>
  <si>
    <t>P5554 - Gorro infantil poliester</t>
  </si>
  <si>
    <t>P5554</t>
  </si>
  <si>
    <t>00396 - Parlante Eco cereal 3w 400mAh</t>
  </si>
  <si>
    <t>00839 - Anotador flex hojas rayadas 21x14cm</t>
  </si>
  <si>
    <t>00840 - Cuaderno anotador con bolígrafo hojas lisas 18x14cm</t>
  </si>
  <si>
    <t>02147 - Funda de PVC para un bolígrafo</t>
  </si>
  <si>
    <t>00838 - Cuaderno simil bambu hojas rayadas 21x14cm</t>
  </si>
  <si>
    <t>LL-130 - Llavero de cuero tira 10 cm</t>
  </si>
  <si>
    <t>LL-131 - Llavero doble cuero forma circular</t>
  </si>
  <si>
    <t>LL-132 - Llavero doble cuero forma gota 7 cm alto</t>
  </si>
  <si>
    <t>LL-133 - Llavero doble cuero clásico 6 cm alto</t>
  </si>
  <si>
    <t xml:space="preserve">00902 - Paraguas ejecutivo mango curvo 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</si>
  <si>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contactarse por whatsapp o mail: ventas@jivi.com.ar</t>
    </r>
  </si>
  <si>
    <t>LA MERCADERIA SE ENVIA POR CUENTA Y RIESGO DEL CLIENTE  • EN CASO DE PERDIDA DE MERCADERIA PARCIAL O TOTAL SE DEBERÁ REALIZAR EL RECLAMO EN EL TRANSPORTE CORRESPONDIENTE • LOS BULTOS SE ENVIAN CON CINTA DE EMBALAJE , VERIFICAR QUE ESTÉ INTACTA LA CINTA AL RETIRARLOS DEL CENTRO DE ENCOMIENDAS</t>
  </si>
  <si>
    <t>IMP UN LADO FONDO BLANCO</t>
  </si>
  <si>
    <t>00292 - Llavero cinta MINI blanca con aro sin fin</t>
  </si>
  <si>
    <t>00292-1 - Llavero cinta MINI blanca con aro sin fin</t>
  </si>
  <si>
    <t>00293 - Llavero cinta MINI blanca con mosquetón plástico</t>
  </si>
  <si>
    <t>00293-1 - Llavero cinta MINI blanca con mosqueton plástico</t>
  </si>
  <si>
    <t>PAGOS EN EFECTIVO O TRANSFERENCIA BANCARIA 20% DE DESCUENTO DEL PRECIO DE LISTA</t>
  </si>
  <si>
    <t>IR A BOTELLAS Y JARROS</t>
  </si>
  <si>
    <t>LL-130</t>
  </si>
  <si>
    <t>LL-131</t>
  </si>
  <si>
    <t>LL-132</t>
  </si>
  <si>
    <t>01059 - Botella de aluminio con boquilla rebatible 800ml</t>
  </si>
  <si>
    <t>LISTA DE PRECIOS Nº 4 / 2025 (En Pesos) - NO INCLUYE I.V.A. - ABRIL - 2025</t>
  </si>
  <si>
    <t>00019 - Mate de acero inoxidable sin bombilla</t>
  </si>
  <si>
    <t>01023 - Vaso fernetero metálico aluminio 1 litro</t>
  </si>
  <si>
    <t>00832 - Cuaderno Eco tapas flexibles A5 hojas rayadas</t>
  </si>
  <si>
    <t>02269 - Bolígrafo slim silver medio giro</t>
  </si>
  <si>
    <t xml:space="preserve">02242 - Lápiz negro madera natural sin punta con goma </t>
  </si>
  <si>
    <t>M-27-1 - Porta credencial extensible plástico</t>
  </si>
  <si>
    <t>M-27-1</t>
  </si>
  <si>
    <t>00702 - Set Mochila / Bandolera / Portadocumentos</t>
  </si>
  <si>
    <t>P5551 - Gorro Camper Trucker esctructurado 100% algodón</t>
  </si>
  <si>
    <t>01044 - Vaso térmico PAMPERO® BAYO</t>
  </si>
  <si>
    <t>00598 - Mochila Urbana bitono 20 litros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</si>
</sst>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19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7"/>
      <name val="Arial Narrow"/>
      <family val="2"/>
    </font>
    <font>
      <sz val="9"/>
      <color indexed="10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sz val="8"/>
      <color indexed="30"/>
      <name val="Arial"/>
      <family val="2"/>
    </font>
    <font>
      <b/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10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4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6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57" fillId="2" borderId="0" xfId="0" applyFont="1" applyFill="1"/>
    <xf numFmtId="0" fontId="0" fillId="4" borderId="0" xfId="0" applyFill="1" applyBorder="1" applyAlignment="1">
      <alignment wrapText="1"/>
    </xf>
    <xf numFmtId="2" fontId="4" fillId="4" borderId="0" xfId="0" applyNumberFormat="1" applyFont="1" applyFill="1" applyBorder="1" applyAlignment="1">
      <alignment horizontal="center" vertical="center"/>
    </xf>
    <xf numFmtId="0" fontId="65" fillId="2" borderId="0" xfId="0" applyFont="1" applyFill="1"/>
    <xf numFmtId="0" fontId="0" fillId="4" borderId="0" xfId="0" applyFill="1"/>
    <xf numFmtId="2" fontId="0" fillId="4" borderId="0" xfId="0" applyNumberFormat="1" applyFill="1" applyBorder="1"/>
    <xf numFmtId="0" fontId="0" fillId="4" borderId="0" xfId="0" applyFill="1" applyBorder="1" applyAlignment="1"/>
    <xf numFmtId="0" fontId="14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/>
    </xf>
    <xf numFmtId="0" fontId="67" fillId="2" borderId="0" xfId="0" applyFont="1" applyFill="1"/>
    <xf numFmtId="0" fontId="68" fillId="2" borderId="0" xfId="0" applyFont="1" applyFill="1"/>
    <xf numFmtId="2" fontId="67" fillId="2" borderId="0" xfId="0" applyNumberFormat="1" applyFont="1" applyFill="1"/>
    <xf numFmtId="0" fontId="0" fillId="4" borderId="0" xfId="0" applyFill="1" applyBorder="1"/>
    <xf numFmtId="0" fontId="31" fillId="2" borderId="0" xfId="0" applyFont="1" applyFill="1"/>
    <xf numFmtId="2" fontId="7" fillId="4" borderId="0" xfId="0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7" fillId="4" borderId="0" xfId="0" applyFont="1" applyFill="1" applyBorder="1" applyAlignment="1">
      <alignment horizontal="center" vertical="center"/>
    </xf>
    <xf numFmtId="2" fontId="4" fillId="4" borderId="0" xfId="0" applyNumberFormat="1" applyFont="1" applyFill="1" applyBorder="1" applyAlignment="1">
      <alignment horizontal="center" vertical="top"/>
    </xf>
    <xf numFmtId="0" fontId="0" fillId="4" borderId="0" xfId="0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2" fontId="4" fillId="6" borderId="12" xfId="0" applyNumberFormat="1" applyFont="1" applyFill="1" applyBorder="1" applyAlignment="1">
      <alignment horizontal="center" vertical="center"/>
    </xf>
    <xf numFmtId="0" fontId="41" fillId="6" borderId="2" xfId="0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0" fontId="69" fillId="2" borderId="0" xfId="0" applyFont="1" applyFill="1"/>
    <xf numFmtId="2" fontId="64" fillId="4" borderId="0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2" fontId="4" fillId="7" borderId="11" xfId="0" applyNumberFormat="1" applyFont="1" applyFill="1" applyBorder="1" applyAlignment="1">
      <alignment horizontal="center" vertical="center"/>
    </xf>
    <xf numFmtId="2" fontId="64" fillId="4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8" xfId="0" applyNumberFormat="1" applyFont="1" applyFill="1" applyBorder="1" applyAlignment="1">
      <alignment horizontal="center" vertical="center"/>
    </xf>
    <xf numFmtId="2" fontId="59" fillId="7" borderId="7" xfId="0" applyNumberFormat="1" applyFont="1" applyFill="1" applyBorder="1" applyAlignment="1">
      <alignment horizontal="center" vertical="center"/>
    </xf>
    <xf numFmtId="2" fontId="59" fillId="4" borderId="8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right"/>
    </xf>
    <xf numFmtId="0" fontId="65" fillId="2" borderId="0" xfId="0" applyFont="1" applyFill="1" applyBorder="1"/>
    <xf numFmtId="2" fontId="70" fillId="7" borderId="3" xfId="0" applyNumberFormat="1" applyFont="1" applyFill="1" applyBorder="1" applyAlignment="1">
      <alignment horizontal="center" vertical="center"/>
    </xf>
    <xf numFmtId="0" fontId="60" fillId="4" borderId="3" xfId="0" applyFont="1" applyFill="1" applyBorder="1"/>
    <xf numFmtId="2" fontId="59" fillId="7" borderId="5" xfId="0" applyNumberFormat="1" applyFont="1" applyFill="1" applyBorder="1" applyAlignment="1">
      <alignment horizontal="center" vertical="center"/>
    </xf>
    <xf numFmtId="2" fontId="59" fillId="4" borderId="5" xfId="0" applyNumberFormat="1" applyFont="1" applyFill="1" applyBorder="1" applyAlignment="1">
      <alignment horizontal="center" vertical="center"/>
    </xf>
    <xf numFmtId="0" fontId="61" fillId="4" borderId="0" xfId="0" applyFont="1" applyFill="1" applyAlignment="1">
      <alignment horizontal="center" vertical="center"/>
    </xf>
    <xf numFmtId="0" fontId="60" fillId="7" borderId="3" xfId="0" applyFont="1" applyFill="1" applyBorder="1"/>
    <xf numFmtId="2" fontId="58" fillId="4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4" borderId="0" xfId="0" applyFont="1" applyFill="1" applyBorder="1" applyAlignment="1"/>
    <xf numFmtId="2" fontId="34" fillId="4" borderId="0" xfId="0" applyNumberFormat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2" fontId="59" fillId="4" borderId="7" xfId="0" applyNumberFormat="1" applyFont="1" applyFill="1" applyBorder="1" applyAlignment="1">
      <alignment horizontal="center" vertical="center"/>
    </xf>
    <xf numFmtId="2" fontId="4" fillId="7" borderId="9" xfId="0" applyNumberFormat="1" applyFont="1" applyFill="1" applyBorder="1" applyAlignment="1">
      <alignment horizontal="center" vertical="center"/>
    </xf>
    <xf numFmtId="2" fontId="59" fillId="4" borderId="3" xfId="3" applyNumberFormat="1" applyFont="1" applyFill="1" applyBorder="1" applyAlignment="1">
      <alignment horizontal="center" vertical="center"/>
    </xf>
    <xf numFmtId="2" fontId="59" fillId="7" borderId="3" xfId="3" applyNumberFormat="1" applyFont="1" applyFill="1" applyBorder="1" applyAlignment="1">
      <alignment horizontal="center" vertical="center"/>
    </xf>
    <xf numFmtId="2" fontId="59" fillId="4" borderId="11" xfId="0" applyNumberFormat="1" applyFont="1" applyFill="1" applyBorder="1" applyAlignment="1">
      <alignment horizontal="center" vertical="center"/>
    </xf>
    <xf numFmtId="2" fontId="59" fillId="4" borderId="0" xfId="0" applyNumberFormat="1" applyFont="1" applyFill="1" applyBorder="1" applyAlignment="1">
      <alignment horizontal="center" vertical="center"/>
    </xf>
    <xf numFmtId="2" fontId="59" fillId="4" borderId="15" xfId="0" applyNumberFormat="1" applyFont="1" applyFill="1" applyBorder="1" applyAlignment="1">
      <alignment horizontal="center" vertical="center"/>
    </xf>
    <xf numFmtId="2" fontId="59" fillId="7" borderId="15" xfId="0" applyNumberFormat="1" applyFont="1" applyFill="1" applyBorder="1" applyAlignment="1">
      <alignment horizontal="center" vertical="center"/>
    </xf>
    <xf numFmtId="2" fontId="62" fillId="7" borderId="3" xfId="0" applyNumberFormat="1" applyFont="1" applyFill="1" applyBorder="1" applyAlignment="1">
      <alignment horizontal="center" vertical="center"/>
    </xf>
    <xf numFmtId="2" fontId="62" fillId="4" borderId="3" xfId="0" applyNumberFormat="1" applyFont="1" applyFill="1" applyBorder="1" applyAlignment="1">
      <alignment horizontal="center" vertical="center"/>
    </xf>
    <xf numFmtId="2" fontId="40" fillId="4" borderId="3" xfId="0" applyNumberFormat="1" applyFont="1" applyFill="1" applyBorder="1" applyAlignment="1">
      <alignment horizontal="center" vertical="center"/>
    </xf>
    <xf numFmtId="2" fontId="40" fillId="7" borderId="3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/>
    </xf>
    <xf numFmtId="0" fontId="65" fillId="4" borderId="0" xfId="0" applyFont="1" applyFill="1" applyAlignment="1">
      <alignment horizontal="right"/>
    </xf>
    <xf numFmtId="0" fontId="65" fillId="2" borderId="0" xfId="0" applyFont="1" applyFill="1" applyAlignment="1">
      <alignment horizontal="right"/>
    </xf>
    <xf numFmtId="2" fontId="4" fillId="4" borderId="11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0" fillId="4" borderId="0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66" fillId="9" borderId="0" xfId="0" applyFont="1" applyFill="1"/>
    <xf numFmtId="0" fontId="18" fillId="9" borderId="0" xfId="0" applyFont="1" applyFill="1"/>
    <xf numFmtId="0" fontId="0" fillId="9" borderId="0" xfId="0" applyFill="1" applyBorder="1"/>
    <xf numFmtId="2" fontId="0" fillId="9" borderId="0" xfId="0" applyNumberFormat="1" applyFill="1"/>
    <xf numFmtId="0" fontId="0" fillId="9" borderId="0" xfId="0" applyFill="1" applyBorder="1" applyAlignment="1"/>
    <xf numFmtId="0" fontId="0" fillId="9" borderId="22" xfId="0" applyFill="1" applyBorder="1"/>
    <xf numFmtId="2" fontId="0" fillId="9" borderId="0" xfId="0" applyNumberFormat="1" applyFill="1" applyBorder="1"/>
    <xf numFmtId="0" fontId="26" fillId="9" borderId="0" xfId="0" applyFont="1" applyFill="1" applyBorder="1"/>
    <xf numFmtId="4" fontId="0" fillId="9" borderId="0" xfId="0" applyNumberFormat="1" applyFill="1" applyBorder="1"/>
    <xf numFmtId="4" fontId="0" fillId="9" borderId="22" xfId="0" applyNumberFormat="1" applyFill="1" applyBorder="1"/>
    <xf numFmtId="0" fontId="26" fillId="9" borderId="0" xfId="0" applyFont="1" applyFill="1"/>
    <xf numFmtId="0" fontId="11" fillId="9" borderId="0" xfId="0" applyFont="1" applyFill="1"/>
    <xf numFmtId="4" fontId="0" fillId="9" borderId="0" xfId="0" applyNumberFormat="1" applyFill="1"/>
    <xf numFmtId="0" fontId="73" fillId="9" borderId="0" xfId="0" applyFont="1" applyFill="1"/>
    <xf numFmtId="0" fontId="73" fillId="9" borderId="0" xfId="0" applyFont="1" applyFill="1" applyBorder="1"/>
    <xf numFmtId="0" fontId="65" fillId="9" borderId="0" xfId="0" applyFont="1" applyFill="1"/>
    <xf numFmtId="0" fontId="65" fillId="9" borderId="0" xfId="0" applyFont="1" applyFill="1" applyBorder="1"/>
    <xf numFmtId="0" fontId="65" fillId="9" borderId="22" xfId="0" applyFont="1" applyFill="1" applyBorder="1"/>
    <xf numFmtId="0" fontId="10" fillId="9" borderId="0" xfId="0" applyFont="1" applyFill="1"/>
    <xf numFmtId="0" fontId="0" fillId="9" borderId="0" xfId="0" applyFill="1" applyBorder="1" applyAlignment="1">
      <alignment horizontal="center" vertical="center" wrapText="1"/>
    </xf>
    <xf numFmtId="0" fontId="49" fillId="9" borderId="0" xfId="0" applyFont="1" applyFill="1"/>
    <xf numFmtId="0" fontId="74" fillId="9" borderId="1" xfId="0" applyFont="1" applyFill="1" applyBorder="1" applyAlignment="1">
      <alignment horizontal="center" vertical="center"/>
    </xf>
    <xf numFmtId="0" fontId="65" fillId="9" borderId="0" xfId="0" applyFont="1" applyFill="1" applyBorder="1" applyAlignment="1">
      <alignment horizontal="center" vertical="center"/>
    </xf>
    <xf numFmtId="0" fontId="65" fillId="9" borderId="22" xfId="0" applyFont="1" applyFill="1" applyBorder="1" applyAlignment="1">
      <alignment horizontal="center" vertical="center"/>
    </xf>
    <xf numFmtId="2" fontId="65" fillId="9" borderId="0" xfId="0" applyNumberFormat="1" applyFont="1" applyFill="1"/>
    <xf numFmtId="0" fontId="74" fillId="9" borderId="0" xfId="0" applyFont="1" applyFill="1"/>
    <xf numFmtId="0" fontId="0" fillId="9" borderId="1" xfId="0" applyFill="1" applyBorder="1"/>
    <xf numFmtId="2" fontId="18" fillId="9" borderId="1" xfId="0" applyNumberFormat="1" applyFont="1" applyFill="1" applyBorder="1"/>
    <xf numFmtId="2" fontId="0" fillId="9" borderId="1" xfId="0" applyNumberFormat="1" applyFill="1" applyBorder="1"/>
    <xf numFmtId="0" fontId="26" fillId="9" borderId="1" xfId="0" applyFont="1" applyFill="1" applyBorder="1"/>
    <xf numFmtId="0" fontId="0" fillId="9" borderId="0" xfId="0" applyFill="1" applyAlignment="1"/>
    <xf numFmtId="0" fontId="0" fillId="9" borderId="22" xfId="0" applyFill="1" applyBorder="1" applyAlignment="1"/>
    <xf numFmtId="0" fontId="2" fillId="9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1" fillId="9" borderId="0" xfId="0" applyFont="1" applyFill="1"/>
    <xf numFmtId="0" fontId="41" fillId="9" borderId="0" xfId="0" applyFont="1" applyFill="1" applyBorder="1"/>
    <xf numFmtId="0" fontId="11" fillId="9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0" fillId="0" borderId="0" xfId="2" applyFont="1" applyAlignment="1" applyProtection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10" fillId="9" borderId="0" xfId="0" applyFont="1" applyFill="1" applyBorder="1" applyAlignment="1"/>
    <xf numFmtId="0" fontId="10" fillId="9" borderId="0" xfId="0" applyFont="1" applyFill="1" applyAlignment="1"/>
    <xf numFmtId="0" fontId="6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/>
    </xf>
    <xf numFmtId="2" fontId="66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166" fontId="79" fillId="2" borderId="3" xfId="2" applyNumberFormat="1" applyFont="1" applyFill="1" applyBorder="1" applyAlignment="1" applyProtection="1">
      <alignment horizontal="center"/>
    </xf>
    <xf numFmtId="0" fontId="10" fillId="4" borderId="11" xfId="0" applyFont="1" applyFill="1" applyBorder="1" applyAlignment="1">
      <alignment horizontal="left" vertical="center"/>
    </xf>
    <xf numFmtId="2" fontId="59" fillId="6" borderId="4" xfId="0" applyNumberFormat="1" applyFont="1" applyFill="1" applyBorder="1" applyAlignment="1">
      <alignment horizontal="center" vertical="center"/>
    </xf>
    <xf numFmtId="0" fontId="41" fillId="6" borderId="1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76" fillId="4" borderId="0" xfId="2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/>
    <xf numFmtId="0" fontId="26" fillId="4" borderId="0" xfId="0" applyFont="1" applyFill="1" applyBorder="1"/>
    <xf numFmtId="4" fontId="0" fillId="4" borderId="0" xfId="0" applyNumberFormat="1" applyFill="1" applyBorder="1"/>
    <xf numFmtId="166" fontId="12" fillId="4" borderId="0" xfId="2" applyNumberFormat="1" applyFill="1" applyBorder="1" applyAlignment="1" applyProtection="1">
      <alignment horizontal="center" vertical="center"/>
    </xf>
    <xf numFmtId="0" fontId="0" fillId="4" borderId="0" xfId="0" applyFill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0" fontId="82" fillId="4" borderId="0" xfId="0" applyFont="1" applyFill="1" applyBorder="1" applyAlignment="1">
      <alignment horizontal="center" vertical="center" wrapText="1"/>
    </xf>
    <xf numFmtId="0" fontId="76" fillId="4" borderId="0" xfId="0" applyFont="1" applyFill="1" applyBorder="1" applyAlignment="1">
      <alignment horizontal="center" vertical="center"/>
    </xf>
    <xf numFmtId="0" fontId="81" fillId="4" borderId="0" xfId="0" applyFont="1" applyFill="1" applyBorder="1" applyAlignment="1">
      <alignment horizontal="center" vertical="center" wrapText="1"/>
    </xf>
    <xf numFmtId="2" fontId="62" fillId="4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2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9" fillId="4" borderId="0" xfId="0" applyFont="1" applyFill="1"/>
    <xf numFmtId="0" fontId="95" fillId="2" borderId="0" xfId="0" applyFont="1" applyFill="1"/>
    <xf numFmtId="2" fontId="5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/>
    <xf numFmtId="0" fontId="2" fillId="4" borderId="0" xfId="0" applyFont="1" applyFill="1" applyAlignment="1"/>
    <xf numFmtId="0" fontId="2" fillId="9" borderId="0" xfId="0" applyFont="1" applyFill="1" applyBorder="1" applyAlignment="1"/>
    <xf numFmtId="0" fontId="0" fillId="4" borderId="0" xfId="0" applyFill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0" fontId="65" fillId="4" borderId="0" xfId="0" applyFont="1" applyFill="1"/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36" fillId="7" borderId="16" xfId="0" applyFont="1" applyFill="1" applyBorder="1" applyAlignment="1"/>
    <xf numFmtId="0" fontId="36" fillId="7" borderId="25" xfId="0" applyFont="1" applyFill="1" applyBorder="1" applyAlignment="1"/>
    <xf numFmtId="2" fontId="58" fillId="7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59" fillId="4" borderId="8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59" fillId="4" borderId="3" xfId="0" applyNumberFormat="1" applyFont="1" applyFill="1" applyBorder="1" applyAlignment="1">
      <alignment horizontal="center" vertical="center"/>
    </xf>
    <xf numFmtId="0" fontId="0" fillId="7" borderId="3" xfId="0" applyFill="1" applyBorder="1"/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/>
    <xf numFmtId="2" fontId="59" fillId="4" borderId="3" xfId="0" applyNumberFormat="1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left" vertical="center"/>
    </xf>
    <xf numFmtId="0" fontId="41" fillId="6" borderId="16" xfId="0" applyFont="1" applyFill="1" applyBorder="1" applyAlignment="1">
      <alignment horizontal="center" vertical="center"/>
    </xf>
    <xf numFmtId="0" fontId="41" fillId="6" borderId="2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2" fontId="4" fillId="6" borderId="25" xfId="0" applyNumberFormat="1" applyFont="1" applyFill="1" applyBorder="1" applyAlignment="1">
      <alignment horizontal="center" vertical="center"/>
    </xf>
    <xf numFmtId="2" fontId="59" fillId="6" borderId="19" xfId="0" applyNumberFormat="1" applyFont="1" applyFill="1" applyBorder="1" applyAlignment="1">
      <alignment horizontal="center" vertical="center"/>
    </xf>
    <xf numFmtId="2" fontId="59" fillId="6" borderId="9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/>
    <xf numFmtId="2" fontId="7" fillId="4" borderId="0" xfId="0" applyNumberFormat="1" applyFont="1" applyFill="1" applyBorder="1" applyAlignment="1">
      <alignment horizontal="center"/>
    </xf>
    <xf numFmtId="0" fontId="39" fillId="4" borderId="0" xfId="0" applyFont="1" applyFill="1" applyBorder="1"/>
    <xf numFmtId="0" fontId="0" fillId="7" borderId="3" xfId="0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1" fillId="4" borderId="3" xfId="0" applyFont="1" applyFill="1" applyBorder="1"/>
    <xf numFmtId="0" fontId="5" fillId="7" borderId="3" xfId="0" applyFont="1" applyFill="1" applyBorder="1"/>
    <xf numFmtId="0" fontId="5" fillId="0" borderId="3" xfId="0" applyFont="1" applyBorder="1"/>
    <xf numFmtId="0" fontId="0" fillId="7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7" borderId="0" xfId="0" applyFont="1" applyFill="1"/>
    <xf numFmtId="1" fontId="59" fillId="4" borderId="3" xfId="0" applyNumberFormat="1" applyFont="1" applyFill="1" applyBorder="1" applyAlignment="1">
      <alignment horizontal="center" vertical="center"/>
    </xf>
    <xf numFmtId="1" fontId="59" fillId="7" borderId="3" xfId="0" applyNumberFormat="1" applyFont="1" applyFill="1" applyBorder="1" applyAlignment="1">
      <alignment horizontal="center" vertical="center"/>
    </xf>
    <xf numFmtId="1" fontId="59" fillId="4" borderId="7" xfId="0" applyNumberFormat="1" applyFont="1" applyFill="1" applyBorder="1" applyAlignment="1">
      <alignment horizontal="center" vertical="center"/>
    </xf>
    <xf numFmtId="1" fontId="59" fillId="7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vertical="center"/>
    </xf>
    <xf numFmtId="2" fontId="59" fillId="14" borderId="3" xfId="0" applyNumberFormat="1" applyFont="1" applyFill="1" applyBorder="1" applyAlignment="1">
      <alignment horizontal="center" vertical="center"/>
    </xf>
    <xf numFmtId="0" fontId="62" fillId="7" borderId="3" xfId="0" applyFont="1" applyFill="1" applyBorder="1"/>
    <xf numFmtId="0" fontId="62" fillId="4" borderId="3" xfId="0" applyFont="1" applyFill="1" applyBorder="1"/>
    <xf numFmtId="0" fontId="4" fillId="7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/>
    <xf numFmtId="0" fontId="5" fillId="7" borderId="3" xfId="0" applyFont="1" applyFill="1" applyBorder="1" applyAlignment="1">
      <alignment horizontal="center" vertical="center"/>
    </xf>
    <xf numFmtId="2" fontId="59" fillId="7" borderId="19" xfId="0" applyNumberFormat="1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59" fillId="7" borderId="8" xfId="0" applyNumberFormat="1" applyFont="1" applyFill="1" applyBorder="1" applyAlignment="1">
      <alignment horizontal="center" vertical="center"/>
    </xf>
    <xf numFmtId="1" fontId="59" fillId="4" borderId="5" xfId="0" applyNumberFormat="1" applyFont="1" applyFill="1" applyBorder="1" applyAlignment="1">
      <alignment horizontal="center" vertical="center"/>
    </xf>
    <xf numFmtId="1" fontId="59" fillId="4" borderId="11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" fontId="59" fillId="7" borderId="14" xfId="0" applyNumberFormat="1" applyFont="1" applyFill="1" applyBorder="1" applyAlignment="1">
      <alignment horizontal="center" vertical="center"/>
    </xf>
    <xf numFmtId="1" fontId="59" fillId="4" borderId="1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0" fillId="4" borderId="0" xfId="0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0" fontId="1" fillId="4" borderId="0" xfId="0" applyFont="1" applyFill="1"/>
    <xf numFmtId="1" fontId="59" fillId="7" borderId="5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1" fontId="59" fillId="7" borderId="4" xfId="0" applyNumberFormat="1" applyFont="1" applyFill="1" applyBorder="1" applyAlignment="1">
      <alignment horizontal="center" vertical="center"/>
    </xf>
    <xf numFmtId="1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2" fontId="1" fillId="4" borderId="3" xfId="0" applyNumberFormat="1" applyFont="1" applyFill="1" applyBorder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7" borderId="3" xfId="0" applyNumberFormat="1" applyFont="1" applyFill="1" applyBorder="1" applyAlignment="1">
      <alignment horizontal="center" vertical="center"/>
    </xf>
    <xf numFmtId="1" fontId="70" fillId="4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0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18" xfId="0" applyNumberFormat="1" applyFont="1" applyFill="1" applyBorder="1" applyAlignment="1">
      <alignment horizontal="center" vertical="center"/>
    </xf>
    <xf numFmtId="1" fontId="59" fillId="7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1" fillId="4" borderId="3" xfId="0" applyNumberFormat="1" applyFont="1" applyFill="1" applyBorder="1"/>
    <xf numFmtId="1" fontId="1" fillId="7" borderId="3" xfId="0" applyNumberFormat="1" applyFont="1" applyFill="1" applyBorder="1"/>
    <xf numFmtId="1" fontId="4" fillId="7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59" fillId="7" borderId="10" xfId="0" applyNumberFormat="1" applyFont="1" applyFill="1" applyBorder="1" applyAlignment="1">
      <alignment horizontal="center" vertical="center"/>
    </xf>
    <xf numFmtId="1" fontId="1" fillId="4" borderId="7" xfId="0" applyNumberFormat="1" applyFont="1" applyFill="1" applyBorder="1"/>
    <xf numFmtId="1" fontId="1" fillId="7" borderId="7" xfId="0" applyNumberFormat="1" applyFont="1" applyFill="1" applyBorder="1"/>
    <xf numFmtId="1" fontId="59" fillId="4" borderId="17" xfId="0" applyNumberFormat="1" applyFont="1" applyFill="1" applyBorder="1" applyAlignment="1">
      <alignment horizontal="center" vertical="center"/>
    </xf>
    <xf numFmtId="1" fontId="59" fillId="7" borderId="17" xfId="0" applyNumberFormat="1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62" fillId="4" borderId="3" xfId="0" applyNumberFormat="1" applyFont="1" applyFill="1" applyBorder="1" applyAlignment="1">
      <alignment horizontal="center" vertical="center" wrapText="1"/>
    </xf>
    <xf numFmtId="1" fontId="62" fillId="7" borderId="3" xfId="0" applyNumberFormat="1" applyFont="1" applyFill="1" applyBorder="1" applyAlignment="1">
      <alignment horizontal="center" vertical="center" wrapText="1"/>
    </xf>
    <xf numFmtId="1" fontId="1" fillId="4" borderId="3" xfId="0" applyNumberFormat="1" applyFont="1" applyFill="1" applyBorder="1" applyAlignment="1">
      <alignment vertical="center"/>
    </xf>
    <xf numFmtId="1" fontId="1" fillId="7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59" fillId="7" borderId="9" xfId="0" applyNumberFormat="1" applyFont="1" applyFill="1" applyBorder="1" applyAlignment="1">
      <alignment horizontal="center" vertical="center"/>
    </xf>
    <xf numFmtId="168" fontId="71" fillId="4" borderId="8" xfId="0" applyNumberFormat="1" applyFont="1" applyFill="1" applyBorder="1" applyAlignment="1">
      <alignment horizontal="center" vertical="center"/>
    </xf>
    <xf numFmtId="168" fontId="4" fillId="5" borderId="3" xfId="0" applyNumberFormat="1" applyFont="1" applyFill="1" applyBorder="1" applyAlignment="1">
      <alignment horizontal="center" vertical="center"/>
    </xf>
    <xf numFmtId="168" fontId="59" fillId="7" borderId="3" xfId="0" applyNumberFormat="1" applyFont="1" applyFill="1" applyBorder="1" applyAlignment="1">
      <alignment horizontal="center" vertical="center"/>
    </xf>
    <xf numFmtId="168" fontId="59" fillId="7" borderId="7" xfId="0" applyNumberFormat="1" applyFont="1" applyFill="1" applyBorder="1" applyAlignment="1">
      <alignment horizontal="center" vertical="center"/>
    </xf>
    <xf numFmtId="168" fontId="59" fillId="4" borderId="3" xfId="0" applyNumberFormat="1" applyFont="1" applyFill="1" applyBorder="1" applyAlignment="1">
      <alignment horizontal="center" vertical="center"/>
    </xf>
    <xf numFmtId="168" fontId="59" fillId="7" borderId="8" xfId="0" applyNumberFormat="1" applyFont="1" applyFill="1" applyBorder="1" applyAlignment="1">
      <alignment horizontal="center" vertical="center"/>
    </xf>
    <xf numFmtId="0" fontId="3" fillId="12" borderId="25" xfId="0" applyNumberFormat="1" applyFont="1" applyFill="1" applyBorder="1" applyAlignment="1">
      <alignment horizontal="center" vertical="center" wrapText="1"/>
    </xf>
    <xf numFmtId="0" fontId="3" fillId="12" borderId="0" xfId="0" applyNumberFormat="1" applyFont="1" applyFill="1" applyBorder="1" applyAlignment="1">
      <alignment horizontal="center" vertical="center" wrapText="1"/>
    </xf>
    <xf numFmtId="0" fontId="3" fillId="12" borderId="12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 vertical="center"/>
    </xf>
    <xf numFmtId="2" fontId="4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1" fontId="59" fillId="7" borderId="33" xfId="0" applyNumberFormat="1" applyFont="1" applyFill="1" applyBorder="1" applyAlignment="1">
      <alignment horizontal="center" vertical="center"/>
    </xf>
    <xf numFmtId="1" fontId="106" fillId="4" borderId="3" xfId="0" applyNumberFormat="1" applyFont="1" applyFill="1" applyBorder="1" applyAlignment="1">
      <alignment horizontal="center" vertical="center"/>
    </xf>
    <xf numFmtId="1" fontId="106" fillId="7" borderId="3" xfId="0" applyNumberFormat="1" applyFont="1" applyFill="1" applyBorder="1" applyAlignment="1">
      <alignment horizontal="center" vertical="center"/>
    </xf>
    <xf numFmtId="1" fontId="106" fillId="7" borderId="4" xfId="0" applyNumberFormat="1" applyFont="1" applyFill="1" applyBorder="1" applyAlignment="1">
      <alignment horizontal="center" vertical="center"/>
    </xf>
    <xf numFmtId="1" fontId="106" fillId="4" borderId="4" xfId="0" applyNumberFormat="1" applyFont="1" applyFill="1" applyBorder="1" applyAlignment="1">
      <alignment horizontal="center" vertical="center"/>
    </xf>
    <xf numFmtId="1" fontId="106" fillId="7" borderId="5" xfId="0" applyNumberFormat="1" applyFont="1" applyFill="1" applyBorder="1" applyAlignment="1">
      <alignment horizontal="center" vertical="center"/>
    </xf>
    <xf numFmtId="1" fontId="106" fillId="4" borderId="5" xfId="0" applyNumberFormat="1" applyFont="1" applyFill="1" applyBorder="1" applyAlignment="1">
      <alignment horizontal="center" vertical="center"/>
    </xf>
    <xf numFmtId="0" fontId="62" fillId="4" borderId="3" xfId="0" applyFont="1" applyFill="1" applyBorder="1" applyAlignment="1">
      <alignment vertical="center"/>
    </xf>
    <xf numFmtId="0" fontId="62" fillId="7" borderId="3" xfId="0" applyFont="1" applyFill="1" applyBorder="1" applyAlignment="1">
      <alignment vertical="center"/>
    </xf>
    <xf numFmtId="0" fontId="5" fillId="7" borderId="11" xfId="0" applyFont="1" applyFill="1" applyBorder="1"/>
    <xf numFmtId="1" fontId="59" fillId="17" borderId="3" xfId="0" applyNumberFormat="1" applyFont="1" applyFill="1" applyBorder="1" applyAlignment="1">
      <alignment horizontal="center" vertical="center"/>
    </xf>
    <xf numFmtId="2" fontId="70" fillId="4" borderId="3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68" fontId="1" fillId="7" borderId="3" xfId="0" applyNumberFormat="1" applyFont="1" applyFill="1" applyBorder="1"/>
    <xf numFmtId="2" fontId="4" fillId="14" borderId="3" xfId="0" applyNumberFormat="1" applyFont="1" applyFill="1" applyBorder="1" applyAlignment="1">
      <alignment horizontal="center" vertical="center"/>
    </xf>
    <xf numFmtId="168" fontId="1" fillId="4" borderId="3" xfId="0" applyNumberFormat="1" applyFont="1" applyFill="1" applyBorder="1"/>
    <xf numFmtId="2" fontId="4" fillId="18" borderId="3" xfId="0" applyNumberFormat="1" applyFont="1" applyFill="1" applyBorder="1" applyAlignment="1">
      <alignment horizontal="center" vertical="center"/>
    </xf>
    <xf numFmtId="2" fontId="59" fillId="18" borderId="7" xfId="0" applyNumberFormat="1" applyFont="1" applyFill="1" applyBorder="1" applyAlignment="1">
      <alignment horizontal="center" vertical="center"/>
    </xf>
    <xf numFmtId="168" fontId="59" fillId="4" borderId="7" xfId="0" applyNumberFormat="1" applyFont="1" applyFill="1" applyBorder="1" applyAlignment="1">
      <alignment horizontal="center" vertical="center"/>
    </xf>
    <xf numFmtId="2" fontId="59" fillId="18" borderId="3" xfId="0" applyNumberFormat="1" applyFont="1" applyFill="1" applyBorder="1" applyAlignment="1">
      <alignment horizontal="center" vertical="center"/>
    </xf>
    <xf numFmtId="168" fontId="59" fillId="4" borderId="8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166" fontId="79" fillId="2" borderId="3" xfId="2" applyNumberFormat="1" applyFont="1" applyFill="1" applyBorder="1" applyAlignment="1" applyProtection="1">
      <alignment horizontal="center" vertical="center"/>
    </xf>
    <xf numFmtId="166" fontId="79" fillId="2" borderId="5" xfId="2" applyNumberFormat="1" applyFont="1" applyFill="1" applyBorder="1" applyAlignment="1" applyProtection="1">
      <alignment horizontal="center"/>
    </xf>
    <xf numFmtId="166" fontId="108" fillId="2" borderId="5" xfId="2" applyNumberFormat="1" applyFont="1" applyFill="1" applyBorder="1" applyAlignment="1" applyProtection="1">
      <alignment horizontal="center"/>
    </xf>
    <xf numFmtId="166" fontId="109" fillId="2" borderId="5" xfId="2" applyNumberFormat="1" applyFont="1" applyFill="1" applyBorder="1" applyAlignment="1" applyProtection="1">
      <alignment horizontal="center"/>
    </xf>
    <xf numFmtId="0" fontId="79" fillId="2" borderId="3" xfId="2" applyFont="1" applyFill="1" applyBorder="1" applyAlignment="1" applyProtection="1">
      <alignment horizontal="center"/>
    </xf>
    <xf numFmtId="166" fontId="79" fillId="2" borderId="19" xfId="2" applyNumberFormat="1" applyFont="1" applyFill="1" applyBorder="1" applyAlignment="1" applyProtection="1">
      <alignment horizontal="center"/>
    </xf>
    <xf numFmtId="0" fontId="79" fillId="0" borderId="3" xfId="2" applyNumberFormat="1" applyFont="1" applyBorder="1" applyAlignment="1" applyProtection="1">
      <alignment horizontal="center"/>
    </xf>
    <xf numFmtId="0" fontId="65" fillId="2" borderId="3" xfId="0" applyFont="1" applyFill="1" applyBorder="1" applyAlignment="1">
      <alignment horizontal="center"/>
    </xf>
    <xf numFmtId="0" fontId="65" fillId="0" borderId="3" xfId="0" applyNumberFormat="1" applyFont="1" applyBorder="1" applyAlignment="1">
      <alignment horizontal="center"/>
    </xf>
    <xf numFmtId="0" fontId="79" fillId="0" borderId="3" xfId="2" applyFont="1" applyBorder="1" applyAlignment="1" applyProtection="1">
      <alignment horizontal="center"/>
    </xf>
    <xf numFmtId="0" fontId="79" fillId="2" borderId="7" xfId="2" applyFont="1" applyFill="1" applyBorder="1" applyAlignment="1" applyProtection="1">
      <alignment horizontal="center"/>
    </xf>
    <xf numFmtId="166" fontId="79" fillId="2" borderId="4" xfId="2" applyNumberFormat="1" applyFont="1" applyFill="1" applyBorder="1" applyAlignment="1" applyProtection="1">
      <alignment horizontal="center" vertical="center"/>
    </xf>
    <xf numFmtId="166" fontId="79" fillId="2" borderId="4" xfId="2" applyNumberFormat="1" applyFont="1" applyFill="1" applyBorder="1" applyAlignment="1" applyProtection="1">
      <alignment horizontal="center"/>
    </xf>
    <xf numFmtId="166" fontId="79" fillId="0" borderId="3" xfId="2" applyNumberFormat="1" applyFont="1" applyBorder="1" applyAlignment="1" applyProtection="1">
      <alignment horizontal="center"/>
    </xf>
    <xf numFmtId="166" fontId="79" fillId="2" borderId="5" xfId="2" applyNumberFormat="1" applyFont="1" applyFill="1" applyBorder="1" applyAlignment="1" applyProtection="1">
      <alignment horizontal="center" vertical="center"/>
    </xf>
    <xf numFmtId="166" fontId="65" fillId="2" borderId="4" xfId="0" applyNumberFormat="1" applyFont="1" applyFill="1" applyBorder="1" applyAlignment="1">
      <alignment horizontal="center"/>
    </xf>
    <xf numFmtId="166" fontId="65" fillId="2" borderId="3" xfId="0" applyNumberFormat="1" applyFont="1" applyFill="1" applyBorder="1" applyAlignment="1">
      <alignment horizontal="center"/>
    </xf>
    <xf numFmtId="166" fontId="79" fillId="4" borderId="3" xfId="2" applyNumberFormat="1" applyFont="1" applyFill="1" applyBorder="1" applyAlignment="1" applyProtection="1">
      <alignment horizontal="center"/>
    </xf>
    <xf numFmtId="166" fontId="65" fillId="4" borderId="3" xfId="0" applyNumberFormat="1" applyFont="1" applyFill="1" applyBorder="1" applyAlignment="1">
      <alignment horizontal="center"/>
    </xf>
    <xf numFmtId="49" fontId="79" fillId="2" borderId="3" xfId="2" applyNumberFormat="1" applyFont="1" applyFill="1" applyBorder="1" applyAlignment="1" applyProtection="1">
      <alignment horizontal="center"/>
    </xf>
    <xf numFmtId="49" fontId="79" fillId="2" borderId="5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8" fontId="71" fillId="4" borderId="3" xfId="0" applyNumberFormat="1" applyFont="1" applyFill="1" applyBorder="1" applyAlignment="1">
      <alignment horizontal="center" vertical="center" wrapText="1"/>
    </xf>
    <xf numFmtId="1" fontId="106" fillId="4" borderId="0" xfId="0" applyNumberFormat="1" applyFont="1" applyFill="1" applyBorder="1" applyAlignment="1">
      <alignment horizontal="center" vertical="center"/>
    </xf>
    <xf numFmtId="49" fontId="79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1" fillId="4" borderId="3" xfId="0" applyNumberFormat="1" applyFont="1" applyFill="1" applyBorder="1" applyAlignment="1">
      <alignment horizontal="center" vertical="center"/>
    </xf>
    <xf numFmtId="2" fontId="40" fillId="7" borderId="7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6" fontId="79" fillId="2" borderId="9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2" fontId="59" fillId="7" borderId="11" xfId="0" applyNumberFormat="1" applyFont="1" applyFill="1" applyBorder="1" applyAlignment="1">
      <alignment horizontal="center" vertical="center"/>
    </xf>
    <xf numFmtId="1" fontId="106" fillId="4" borderId="11" xfId="0" applyNumberFormat="1" applyFont="1" applyFill="1" applyBorder="1" applyAlignment="1">
      <alignment horizontal="center" vertical="center"/>
    </xf>
    <xf numFmtId="1" fontId="106" fillId="7" borderId="11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/>
    </xf>
    <xf numFmtId="2" fontId="59" fillId="7" borderId="3" xfId="0" applyNumberFormat="1" applyFont="1" applyFill="1" applyBorder="1" applyAlignment="1">
      <alignment horizontal="center" vertical="center"/>
    </xf>
    <xf numFmtId="1" fontId="59" fillId="4" borderId="36" xfId="0" applyNumberFormat="1" applyFont="1" applyFill="1" applyBorder="1" applyAlignment="1">
      <alignment horizontal="center" vertical="center"/>
    </xf>
    <xf numFmtId="1" fontId="59" fillId="4" borderId="21" xfId="0" applyNumberFormat="1" applyFont="1" applyFill="1" applyBorder="1" applyAlignment="1">
      <alignment horizontal="center" vertical="center"/>
    </xf>
    <xf numFmtId="2" fontId="59" fillId="4" borderId="2" xfId="0" applyNumberFormat="1" applyFont="1" applyFill="1" applyBorder="1" applyAlignment="1">
      <alignment horizontal="center" vertical="center"/>
    </xf>
    <xf numFmtId="2" fontId="59" fillId="7" borderId="12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/>
    <xf numFmtId="0" fontId="0" fillId="4" borderId="0" xfId="0" applyFill="1" applyBorder="1" applyAlignment="1"/>
    <xf numFmtId="0" fontId="76" fillId="4" borderId="0" xfId="2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78" fillId="13" borderId="12" xfId="0" applyFont="1" applyFill="1" applyBorder="1"/>
    <xf numFmtId="0" fontId="76" fillId="13" borderId="3" xfId="0" applyFont="1" applyFill="1" applyBorder="1" applyAlignment="1">
      <alignment horizontal="center" vertical="center"/>
    </xf>
    <xf numFmtId="0" fontId="66" fillId="13" borderId="3" xfId="0" applyFont="1" applyFill="1" applyBorder="1" applyAlignment="1">
      <alignment horizontal="center" vertical="center"/>
    </xf>
    <xf numFmtId="2" fontId="43" fillId="13" borderId="3" xfId="0" applyNumberFormat="1" applyFont="1" applyFill="1" applyBorder="1" applyAlignment="1">
      <alignment horizontal="center" vertical="center"/>
    </xf>
    <xf numFmtId="2" fontId="76" fillId="13" borderId="3" xfId="0" applyNumberFormat="1" applyFont="1" applyFill="1" applyBorder="1" applyAlignment="1">
      <alignment horizontal="center" vertical="center"/>
    </xf>
    <xf numFmtId="2" fontId="55" fillId="10" borderId="7" xfId="0" applyNumberFormat="1" applyFont="1" applyFill="1" applyBorder="1" applyAlignment="1">
      <alignment horizontal="center" vertical="center" wrapText="1"/>
    </xf>
    <xf numFmtId="0" fontId="74" fillId="10" borderId="5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left" vertical="center"/>
    </xf>
    <xf numFmtId="0" fontId="5" fillId="19" borderId="9" xfId="0" applyFont="1" applyFill="1" applyBorder="1" applyAlignment="1">
      <alignment horizontal="left" vertical="center"/>
    </xf>
    <xf numFmtId="2" fontId="46" fillId="13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0" fontId="66" fillId="13" borderId="12" xfId="0" applyFont="1" applyFill="1" applyBorder="1" applyAlignment="1">
      <alignment horizontal="center" vertical="center"/>
    </xf>
    <xf numFmtId="0" fontId="76" fillId="13" borderId="12" xfId="0" applyFont="1" applyFill="1" applyBorder="1" applyAlignment="1">
      <alignment horizontal="center" vertical="center"/>
    </xf>
    <xf numFmtId="0" fontId="76" fillId="13" borderId="9" xfId="0" applyFont="1" applyFill="1" applyBorder="1" applyAlignment="1">
      <alignment horizontal="center" vertical="center"/>
    </xf>
    <xf numFmtId="168" fontId="59" fillId="4" borderId="36" xfId="0" applyNumberFormat="1" applyFont="1" applyFill="1" applyBorder="1" applyAlignment="1">
      <alignment horizontal="center" vertical="center"/>
    </xf>
    <xf numFmtId="168" fontId="59" fillId="4" borderId="38" xfId="0" applyNumberFormat="1" applyFont="1" applyFill="1" applyBorder="1" applyAlignment="1">
      <alignment horizontal="center" vertical="center"/>
    </xf>
    <xf numFmtId="2" fontId="77" fillId="15" borderId="5" xfId="0" applyNumberFormat="1" applyFont="1" applyFill="1" applyBorder="1" applyAlignment="1">
      <alignment horizontal="center" vertical="center"/>
    </xf>
    <xf numFmtId="2" fontId="76" fillId="15" borderId="5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1" fillId="2" borderId="0" xfId="0" applyFont="1" applyFill="1" applyBorder="1"/>
    <xf numFmtId="2" fontId="6" fillId="4" borderId="2" xfId="0" applyNumberFormat="1" applyFont="1" applyFill="1" applyBorder="1" applyAlignment="1">
      <alignment horizontal="center" vertical="center" wrapText="1"/>
    </xf>
    <xf numFmtId="2" fontId="65" fillId="4" borderId="3" xfId="0" applyNumberFormat="1" applyFont="1" applyFill="1" applyBorder="1"/>
    <xf numFmtId="2" fontId="65" fillId="7" borderId="3" xfId="0" applyNumberFormat="1" applyFont="1" applyFill="1" applyBorder="1"/>
    <xf numFmtId="0" fontId="4" fillId="7" borderId="5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106" fillId="4" borderId="15" xfId="0" applyNumberFormat="1" applyFont="1" applyFill="1" applyBorder="1" applyAlignment="1">
      <alignment horizontal="center" vertical="center"/>
    </xf>
    <xf numFmtId="1" fontId="70" fillId="7" borderId="15" xfId="0" applyNumberFormat="1" applyFont="1" applyFill="1" applyBorder="1" applyAlignment="1">
      <alignment horizontal="center" vertical="center"/>
    </xf>
    <xf numFmtId="1" fontId="116" fillId="7" borderId="8" xfId="0" applyNumberFormat="1" applyFont="1" applyFill="1" applyBorder="1" applyAlignment="1">
      <alignment horizontal="center" vertical="center"/>
    </xf>
    <xf numFmtId="1" fontId="59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4" borderId="5" xfId="0" applyNumberFormat="1" applyFont="1" applyFill="1" applyBorder="1" applyAlignment="1">
      <alignment horizontal="center" vertical="center"/>
    </xf>
    <xf numFmtId="166" fontId="109" fillId="2" borderId="3" xfId="2" applyNumberFormat="1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1" fontId="106" fillId="4" borderId="18" xfId="0" applyNumberFormat="1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1" fontId="41" fillId="4" borderId="3" xfId="0" applyNumberFormat="1" applyFont="1" applyFill="1" applyBorder="1" applyAlignment="1">
      <alignment horizontal="center" vertical="center" wrapText="1"/>
    </xf>
    <xf numFmtId="1" fontId="59" fillId="4" borderId="35" xfId="0" applyNumberFormat="1" applyFont="1" applyFill="1" applyBorder="1" applyAlignment="1">
      <alignment horizontal="center" vertical="center"/>
    </xf>
    <xf numFmtId="1" fontId="59" fillId="7" borderId="31" xfId="0" applyNumberFormat="1" applyFont="1" applyFill="1" applyBorder="1" applyAlignment="1">
      <alignment horizontal="center" vertical="center"/>
    </xf>
    <xf numFmtId="2" fontId="59" fillId="7" borderId="32" xfId="0" applyNumberFormat="1" applyFont="1" applyFill="1" applyBorder="1" applyAlignment="1">
      <alignment horizontal="center" vertical="center"/>
    </xf>
    <xf numFmtId="1" fontId="59" fillId="7" borderId="32" xfId="0" applyNumberFormat="1" applyFont="1" applyFill="1" applyBorder="1" applyAlignment="1">
      <alignment horizontal="center" vertical="center"/>
    </xf>
    <xf numFmtId="1" fontId="41" fillId="7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/>
    </xf>
    <xf numFmtId="0" fontId="41" fillId="7" borderId="25" xfId="0" applyFont="1" applyFill="1" applyBorder="1" applyAlignment="1">
      <alignment horizontal="center" vertical="center"/>
    </xf>
    <xf numFmtId="1" fontId="106" fillId="4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117" fillId="2" borderId="0" xfId="0" applyFont="1" applyFill="1"/>
    <xf numFmtId="1" fontId="59" fillId="21" borderId="5" xfId="0" applyNumberFormat="1" applyFont="1" applyFill="1" applyBorder="1" applyAlignment="1">
      <alignment horizontal="center" vertical="center"/>
    </xf>
    <xf numFmtId="1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/>
    <xf numFmtId="2" fontId="4" fillId="21" borderId="3" xfId="0" applyNumberFormat="1" applyFont="1" applyFill="1" applyBorder="1" applyAlignment="1">
      <alignment horizontal="center" vertical="center"/>
    </xf>
    <xf numFmtId="1" fontId="1" fillId="21" borderId="3" xfId="0" applyNumberFormat="1" applyFont="1" applyFill="1" applyBorder="1"/>
    <xf numFmtId="1" fontId="106" fillId="21" borderId="3" xfId="0" applyNumberFormat="1" applyFont="1" applyFill="1" applyBorder="1" applyAlignment="1">
      <alignment horizontal="center" vertical="center"/>
    </xf>
    <xf numFmtId="1" fontId="59" fillId="21" borderId="17" xfId="0" applyNumberFormat="1" applyFont="1" applyFill="1" applyBorder="1" applyAlignment="1">
      <alignment horizontal="center" vertical="center"/>
    </xf>
    <xf numFmtId="0" fontId="1" fillId="21" borderId="7" xfId="0" applyFont="1" applyFill="1" applyBorder="1"/>
    <xf numFmtId="1" fontId="59" fillId="21" borderId="14" xfId="0" applyNumberFormat="1" applyFont="1" applyFill="1" applyBorder="1" applyAlignment="1">
      <alignment horizontal="center" vertical="center"/>
    </xf>
    <xf numFmtId="2" fontId="4" fillId="21" borderId="5" xfId="0" applyNumberFormat="1" applyFont="1" applyFill="1" applyBorder="1" applyAlignment="1">
      <alignment horizontal="center" vertical="center"/>
    </xf>
    <xf numFmtId="2" fontId="5" fillId="21" borderId="5" xfId="0" applyNumberFormat="1" applyFont="1" applyFill="1" applyBorder="1" applyAlignment="1">
      <alignment horizontal="center" vertical="center"/>
    </xf>
    <xf numFmtId="1" fontId="106" fillId="21" borderId="5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2" fontId="62" fillId="7" borderId="3" xfId="0" applyNumberFormat="1" applyFont="1" applyFill="1" applyBorder="1"/>
    <xf numFmtId="2" fontId="59" fillId="7" borderId="3" xfId="0" applyNumberFormat="1" applyFont="1" applyFill="1" applyBorder="1" applyAlignment="1">
      <alignment horizontal="center"/>
    </xf>
    <xf numFmtId="1" fontId="59" fillId="7" borderId="3" xfId="0" applyNumberFormat="1" applyFont="1" applyFill="1" applyBorder="1" applyAlignment="1">
      <alignment horizont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1" fillId="21" borderId="0" xfId="0" applyFont="1" applyFill="1"/>
    <xf numFmtId="1" fontId="1" fillId="21" borderId="7" xfId="0" applyNumberFormat="1" applyFont="1" applyFill="1" applyBorder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66" fillId="9" borderId="0" xfId="0" applyFont="1" applyFill="1" applyAlignment="1">
      <alignment vertical="center"/>
    </xf>
    <xf numFmtId="2" fontId="5" fillId="4" borderId="0" xfId="0" applyNumberFormat="1" applyFont="1" applyFill="1" applyBorder="1" applyAlignment="1"/>
    <xf numFmtId="2" fontId="0" fillId="4" borderId="0" xfId="0" applyNumberFormat="1" applyFill="1" applyBorder="1" applyAlignment="1"/>
    <xf numFmtId="0" fontId="66" fillId="9" borderId="0" xfId="0" applyFont="1" applyFill="1" applyBorder="1" applyAlignment="1"/>
    <xf numFmtId="2" fontId="40" fillId="7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5" fillId="4" borderId="11" xfId="0" applyFont="1" applyFill="1" applyBorder="1"/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1" fillId="7" borderId="5" xfId="0" applyFont="1" applyFill="1" applyBorder="1"/>
    <xf numFmtId="1" fontId="1" fillId="7" borderId="5" xfId="0" applyNumberFormat="1" applyFont="1" applyFill="1" applyBorder="1"/>
    <xf numFmtId="0" fontId="1" fillId="4" borderId="11" xfId="0" applyFont="1" applyFill="1" applyBorder="1"/>
    <xf numFmtId="2" fontId="6" fillId="7" borderId="12" xfId="0" applyNumberFormat="1" applyFont="1" applyFill="1" applyBorder="1" applyAlignment="1">
      <alignment horizontal="center" vertical="center" wrapText="1"/>
    </xf>
    <xf numFmtId="0" fontId="5" fillId="7" borderId="5" xfId="0" applyFont="1" applyFill="1" applyBorder="1"/>
    <xf numFmtId="0" fontId="0" fillId="7" borderId="5" xfId="0" applyFill="1" applyBorder="1"/>
    <xf numFmtId="2" fontId="59" fillId="4" borderId="36" xfId="0" applyNumberFormat="1" applyFont="1" applyFill="1" applyBorder="1" applyAlignment="1">
      <alignment horizontal="center" vertical="center"/>
    </xf>
    <xf numFmtId="1" fontId="106" fillId="0" borderId="3" xfId="0" applyNumberFormat="1" applyFont="1" applyFill="1" applyBorder="1" applyAlignment="1">
      <alignment horizontal="center" vertical="center"/>
    </xf>
    <xf numFmtId="1" fontId="59" fillId="0" borderId="3" xfId="0" applyNumberFormat="1" applyFont="1" applyFill="1" applyBorder="1" applyAlignment="1">
      <alignment horizontal="center" vertical="center"/>
    </xf>
    <xf numFmtId="1" fontId="106" fillId="7" borderId="7" xfId="0" applyNumberFormat="1" applyFont="1" applyFill="1" applyBorder="1" applyAlignment="1">
      <alignment horizontal="center" vertical="center"/>
    </xf>
    <xf numFmtId="166" fontId="79" fillId="4" borderId="0" xfId="2" applyNumberFormat="1" applyFont="1" applyFill="1" applyBorder="1" applyAlignment="1" applyProtection="1">
      <alignment horizontal="center"/>
    </xf>
    <xf numFmtId="0" fontId="73" fillId="4" borderId="0" xfId="0" applyFont="1" applyFill="1" applyBorder="1"/>
    <xf numFmtId="0" fontId="4" fillId="7" borderId="3" xfId="0" applyFont="1" applyFill="1" applyBorder="1"/>
    <xf numFmtId="0" fontId="4" fillId="4" borderId="3" xfId="0" applyFont="1" applyFill="1" applyBorder="1"/>
    <xf numFmtId="0" fontId="4" fillId="7" borderId="3" xfId="0" applyFont="1" applyFill="1" applyBorder="1" applyAlignment="1"/>
    <xf numFmtId="0" fontId="1" fillId="2" borderId="3" xfId="0" applyFont="1" applyFill="1" applyBorder="1"/>
    <xf numFmtId="0" fontId="4" fillId="4" borderId="3" xfId="0" applyFont="1" applyFill="1" applyBorder="1" applyAlignment="1"/>
    <xf numFmtId="1" fontId="59" fillId="21" borderId="7" xfId="0" applyNumberFormat="1" applyFont="1" applyFill="1" applyBorder="1" applyAlignment="1">
      <alignment horizontal="center" vertical="center"/>
    </xf>
    <xf numFmtId="1" fontId="59" fillId="4" borderId="10" xfId="0" applyNumberFormat="1" applyFont="1" applyFill="1" applyBorder="1" applyAlignment="1">
      <alignment horizontal="center" vertical="center"/>
    </xf>
    <xf numFmtId="1" fontId="59" fillId="4" borderId="15" xfId="0" applyNumberFormat="1" applyFont="1" applyFill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1" fontId="59" fillId="7" borderId="34" xfId="0" applyNumberFormat="1" applyFont="1" applyFill="1" applyBorder="1" applyAlignment="1">
      <alignment horizontal="center" vertical="center"/>
    </xf>
    <xf numFmtId="1" fontId="59" fillId="4" borderId="34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59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5" fillId="7" borderId="3" xfId="0" applyFont="1" applyFill="1" applyBorder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62" fillId="4" borderId="3" xfId="0" applyNumberFormat="1" applyFont="1" applyFill="1" applyBorder="1"/>
    <xf numFmtId="2" fontId="59" fillId="4" borderId="3" xfId="0" applyNumberFormat="1" applyFont="1" applyFill="1" applyBorder="1" applyAlignment="1">
      <alignment horizontal="center"/>
    </xf>
    <xf numFmtId="1" fontId="59" fillId="4" borderId="3" xfId="0" applyNumberFormat="1" applyFont="1" applyFill="1" applyBorder="1" applyAlignment="1">
      <alignment horizont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66" fillId="7" borderId="3" xfId="0" applyNumberFormat="1" applyFont="1" applyFill="1" applyBorder="1" applyAlignment="1">
      <alignment horizontal="center" vertical="center"/>
    </xf>
    <xf numFmtId="2" fontId="66" fillId="4" borderId="3" xfId="0" applyNumberFormat="1" applyFont="1" applyFill="1" applyBorder="1" applyAlignment="1">
      <alignment horizontal="center" vertical="center"/>
    </xf>
    <xf numFmtId="1" fontId="107" fillId="7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2" fontId="40" fillId="7" borderId="3" xfId="0" applyNumberFormat="1" applyFont="1" applyFill="1" applyBorder="1" applyAlignment="1">
      <alignment horizontal="center" vertical="center" wrapText="1"/>
    </xf>
    <xf numFmtId="0" fontId="1" fillId="7" borderId="0" xfId="0" applyFont="1" applyFill="1" applyBorder="1"/>
    <xf numFmtId="0" fontId="1" fillId="4" borderId="0" xfId="0" applyFont="1" applyFill="1" applyBorder="1"/>
    <xf numFmtId="2" fontId="59" fillId="21" borderId="3" xfId="0" applyNumberFormat="1" applyFont="1" applyFill="1" applyBorder="1" applyAlignment="1">
      <alignment horizontal="center" vertical="center"/>
    </xf>
    <xf numFmtId="0" fontId="61" fillId="0" borderId="3" xfId="0" applyFont="1" applyBorder="1" applyAlignment="1">
      <alignment horizontal="center" vertical="center" wrapText="1"/>
    </xf>
    <xf numFmtId="0" fontId="61" fillId="7" borderId="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/>
    </xf>
    <xf numFmtId="2" fontId="59" fillId="21" borderId="5" xfId="3" applyNumberFormat="1" applyFont="1" applyFill="1" applyBorder="1" applyAlignment="1">
      <alignment horizontal="center" vertical="center"/>
    </xf>
    <xf numFmtId="1" fontId="59" fillId="21" borderId="8" xfId="0" applyNumberFormat="1" applyFont="1" applyFill="1" applyBorder="1" applyAlignment="1">
      <alignment horizontal="center" vertical="center"/>
    </xf>
    <xf numFmtId="2" fontId="59" fillId="21" borderId="5" xfId="0" applyNumberFormat="1" applyFont="1" applyFill="1" applyBorder="1" applyAlignment="1">
      <alignment horizontal="center" vertical="center"/>
    </xf>
    <xf numFmtId="2" fontId="4" fillId="21" borderId="7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2" fontId="70" fillId="21" borderId="3" xfId="0" applyNumberFormat="1" applyFont="1" applyFill="1" applyBorder="1" applyAlignment="1">
      <alignment horizontal="center" vertical="center"/>
    </xf>
    <xf numFmtId="1" fontId="70" fillId="21" borderId="3" xfId="0" applyNumberFormat="1" applyFont="1" applyFill="1" applyBorder="1" applyAlignment="1">
      <alignment horizontal="center" vertical="center"/>
    </xf>
    <xf numFmtId="2" fontId="66" fillId="21" borderId="3" xfId="0" applyNumberFormat="1" applyFont="1" applyFill="1" applyBorder="1" applyAlignment="1">
      <alignment horizontal="center" vertical="center"/>
    </xf>
    <xf numFmtId="1" fontId="59" fillId="21" borderId="4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1" fontId="1" fillId="4" borderId="5" xfId="0" applyNumberFormat="1" applyFont="1" applyFill="1" applyBorder="1"/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1" fontId="70" fillId="4" borderId="4" xfId="0" applyNumberFormat="1" applyFont="1" applyFill="1" applyBorder="1" applyAlignment="1">
      <alignment horizontal="center" vertical="center"/>
    </xf>
    <xf numFmtId="2" fontId="2" fillId="12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9" borderId="1" xfId="0" applyFont="1" applyFill="1" applyBorder="1" applyAlignment="1">
      <alignment vertical="center"/>
    </xf>
    <xf numFmtId="0" fontId="14" fillId="9" borderId="0" xfId="0" applyFont="1" applyFill="1" applyBorder="1" applyAlignment="1"/>
    <xf numFmtId="0" fontId="14" fillId="9" borderId="22" xfId="0" applyFont="1" applyFill="1" applyBorder="1" applyAlignment="1"/>
    <xf numFmtId="0" fontId="52" fillId="4" borderId="0" xfId="2" applyFont="1" applyFill="1" applyAlignment="1" applyProtection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0" borderId="3" xfId="0" applyFont="1" applyBorder="1" applyAlignment="1">
      <alignment horizontal="left" vertical="center" wrapText="1"/>
    </xf>
    <xf numFmtId="2" fontId="5" fillId="6" borderId="3" xfId="0" applyNumberFormat="1" applyFont="1" applyFill="1" applyBorder="1" applyAlignment="1"/>
    <xf numFmtId="0" fontId="0" fillId="6" borderId="3" xfId="0" applyFill="1" applyBorder="1" applyAlignment="1"/>
    <xf numFmtId="2" fontId="104" fillId="13" borderId="3" xfId="0" applyNumberFormat="1" applyFont="1" applyFill="1" applyBorder="1" applyAlignment="1">
      <alignment horizontal="center" vertical="center" wrapText="1"/>
    </xf>
    <xf numFmtId="0" fontId="78" fillId="13" borderId="3" xfId="0" applyFont="1" applyFill="1" applyBorder="1" applyAlignment="1">
      <alignment horizontal="center" vertical="center" wrapText="1"/>
    </xf>
    <xf numFmtId="2" fontId="5" fillId="7" borderId="5" xfId="0" applyNumberFormat="1" applyFont="1" applyFill="1" applyBorder="1" applyAlignment="1"/>
    <xf numFmtId="0" fontId="0" fillId="7" borderId="5" xfId="0" applyFill="1" applyBorder="1" applyAlignment="1"/>
    <xf numFmtId="0" fontId="2" fillId="12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66" fillId="9" borderId="1" xfId="0" applyFont="1" applyFill="1" applyBorder="1" applyAlignment="1"/>
    <xf numFmtId="0" fontId="14" fillId="0" borderId="0" xfId="0" applyFont="1" applyAlignment="1"/>
    <xf numFmtId="0" fontId="14" fillId="0" borderId="22" xfId="0" applyFont="1" applyBorder="1" applyAlignment="1"/>
    <xf numFmtId="0" fontId="2" fillId="9" borderId="1" xfId="0" applyFont="1" applyFill="1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0" fontId="50" fillId="2" borderId="0" xfId="2" applyFont="1" applyFill="1" applyAlignment="1" applyProtection="1"/>
    <xf numFmtId="0" fontId="50" fillId="0" borderId="0" xfId="2" applyFont="1" applyAlignment="1" applyProtection="1"/>
    <xf numFmtId="0" fontId="61" fillId="19" borderId="7" xfId="0" applyFont="1" applyFill="1" applyBorder="1" applyAlignment="1">
      <alignment horizontal="center" vertical="center" wrapText="1"/>
    </xf>
    <xf numFmtId="0" fontId="61" fillId="19" borderId="5" xfId="0" applyFont="1" applyFill="1" applyBorder="1" applyAlignment="1">
      <alignment horizontal="center" vertical="center" wrapText="1"/>
    </xf>
    <xf numFmtId="0" fontId="4" fillId="19" borderId="16" xfId="2" applyFont="1" applyFill="1" applyBorder="1" applyAlignment="1" applyProtection="1">
      <alignment horizontal="center" vertical="center" wrapText="1"/>
    </xf>
    <xf numFmtId="0" fontId="4" fillId="19" borderId="25" xfId="2" applyFont="1" applyFill="1" applyBorder="1" applyAlignment="1" applyProtection="1">
      <alignment horizontal="center" vertical="center" wrapText="1"/>
    </xf>
    <xf numFmtId="0" fontId="4" fillId="19" borderId="19" xfId="2" applyFont="1" applyFill="1" applyBorder="1" applyAlignment="1" applyProtection="1">
      <alignment horizontal="center" vertical="center" wrapText="1"/>
    </xf>
    <xf numFmtId="0" fontId="4" fillId="19" borderId="18" xfId="2" applyFont="1" applyFill="1" applyBorder="1" applyAlignment="1" applyProtection="1">
      <alignment horizontal="center" vertical="center" wrapText="1"/>
    </xf>
    <xf numFmtId="0" fontId="4" fillId="19" borderId="12" xfId="2" applyFont="1" applyFill="1" applyBorder="1" applyAlignment="1" applyProtection="1">
      <alignment horizontal="center" vertical="center" wrapText="1"/>
    </xf>
    <xf numFmtId="0" fontId="4" fillId="19" borderId="9" xfId="2" applyFont="1" applyFill="1" applyBorder="1" applyAlignment="1" applyProtection="1">
      <alignment horizontal="center" vertical="center" wrapText="1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2" fontId="5" fillId="4" borderId="3" xfId="0" applyNumberFormat="1" applyFont="1" applyFill="1" applyBorder="1" applyAlignment="1"/>
    <xf numFmtId="0" fontId="0" fillId="4" borderId="3" xfId="0" applyFill="1" applyBorder="1" applyAlignment="1"/>
    <xf numFmtId="2" fontId="5" fillId="6" borderId="3" xfId="0" applyNumberFormat="1" applyFont="1" applyFill="1" applyBorder="1" applyAlignment="1">
      <alignment wrapText="1"/>
    </xf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2" fontId="5" fillId="4" borderId="5" xfId="0" applyNumberFormat="1" applyFont="1" applyFill="1" applyBorder="1" applyAlignment="1"/>
    <xf numFmtId="0" fontId="18" fillId="4" borderId="5" xfId="0" applyFont="1" applyFill="1" applyBorder="1" applyAlignment="1"/>
    <xf numFmtId="0" fontId="2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61" fillId="11" borderId="7" xfId="0" applyFont="1" applyFill="1" applyBorder="1" applyAlignment="1">
      <alignment horizontal="center" vertical="center" wrapText="1"/>
    </xf>
    <xf numFmtId="0" fontId="60" fillId="11" borderId="5" xfId="0" applyFont="1" applyFill="1" applyBorder="1" applyAlignment="1">
      <alignment horizontal="center" vertical="center" wrapText="1"/>
    </xf>
    <xf numFmtId="2" fontId="104" fillId="13" borderId="25" xfId="0" applyNumberFormat="1" applyFont="1" applyFill="1" applyBorder="1" applyAlignment="1">
      <alignment horizontal="center" vertical="center" wrapText="1"/>
    </xf>
    <xf numFmtId="0" fontId="78" fillId="13" borderId="25" xfId="0" applyFont="1" applyFill="1" applyBorder="1" applyAlignment="1">
      <alignment horizontal="center" vertical="center" wrapText="1"/>
    </xf>
    <xf numFmtId="0" fontId="78" fillId="13" borderId="19" xfId="0" applyFont="1" applyFill="1" applyBorder="1" applyAlignment="1">
      <alignment horizontal="center" vertical="center" wrapText="1"/>
    </xf>
    <xf numFmtId="0" fontId="4" fillId="19" borderId="3" xfId="2" applyFont="1" applyFill="1" applyBorder="1" applyAlignment="1" applyProtection="1">
      <alignment horizontal="center" vertical="center" wrapText="1"/>
    </xf>
    <xf numFmtId="0" fontId="5" fillId="6" borderId="11" xfId="0" applyFont="1" applyFill="1" applyBorder="1" applyAlignment="1"/>
    <xf numFmtId="0" fontId="5" fillId="6" borderId="2" xfId="0" applyFont="1" applyFill="1" applyBorder="1" applyAlignment="1"/>
    <xf numFmtId="0" fontId="5" fillId="6" borderId="4" xfId="0" applyFont="1" applyFill="1" applyBorder="1" applyAlignment="1"/>
    <xf numFmtId="0" fontId="5" fillId="7" borderId="3" xfId="0" applyFont="1" applyFill="1" applyBorder="1" applyAlignment="1"/>
    <xf numFmtId="0" fontId="1" fillId="7" borderId="3" xfId="0" applyFont="1" applyFill="1" applyBorder="1" applyAlignment="1"/>
    <xf numFmtId="0" fontId="61" fillId="19" borderId="3" xfId="0" applyFont="1" applyFill="1" applyBorder="1" applyAlignment="1">
      <alignment horizontal="center" vertical="center" wrapText="1"/>
    </xf>
    <xf numFmtId="2" fontId="66" fillId="12" borderId="16" xfId="0" applyNumberFormat="1" applyFont="1" applyFill="1" applyBorder="1" applyAlignment="1">
      <alignment horizontal="center" vertical="center" wrapText="1"/>
    </xf>
    <xf numFmtId="0" fontId="72" fillId="12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2" fillId="12" borderId="1" xfId="0" applyFont="1" applyFill="1" applyBorder="1" applyAlignment="1">
      <alignment horizontal="center" vertical="center" wrapText="1"/>
    </xf>
    <xf numFmtId="0" fontId="72" fillId="1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2" fillId="12" borderId="18" xfId="0" applyFont="1" applyFill="1" applyBorder="1" applyAlignment="1">
      <alignment horizontal="center" vertical="center" wrapText="1"/>
    </xf>
    <xf numFmtId="0" fontId="72" fillId="1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8" fillId="7" borderId="5" xfId="0" applyFont="1" applyFill="1" applyBorder="1" applyAlignment="1"/>
    <xf numFmtId="2" fontId="5" fillId="4" borderId="3" xfId="0" applyNumberFormat="1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2" fontId="72" fillId="21" borderId="3" xfId="0" applyNumberFormat="1" applyFont="1" applyFill="1" applyBorder="1" applyAlignment="1"/>
    <xf numFmtId="0" fontId="65" fillId="21" borderId="3" xfId="0" applyFont="1" applyFill="1" applyBorder="1" applyAlignment="1"/>
    <xf numFmtId="0" fontId="2" fillId="9" borderId="0" xfId="0" applyFont="1" applyFill="1" applyAlignment="1"/>
    <xf numFmtId="2" fontId="5" fillId="4" borderId="11" xfId="0" applyNumberFormat="1" applyFont="1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0" fontId="2" fillId="4" borderId="3" xfId="0" applyFont="1" applyFill="1" applyBorder="1" applyAlignment="1">
      <alignment horizontal="left" vertical="center" wrapText="1"/>
    </xf>
    <xf numFmtId="0" fontId="72" fillId="4" borderId="0" xfId="0" applyFont="1" applyFill="1" applyBorder="1" applyAlignment="1">
      <alignment horizontal="center" vertical="center" wrapText="1"/>
    </xf>
    <xf numFmtId="2" fontId="0" fillId="6" borderId="3" xfId="0" applyNumberFormat="1" applyFill="1" applyBorder="1" applyAlignment="1"/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5" fillId="4" borderId="11" xfId="0" applyFont="1" applyFill="1" applyBorder="1" applyAlignment="1"/>
    <xf numFmtId="0" fontId="5" fillId="4" borderId="2" xfId="0" applyFont="1" applyFill="1" applyBorder="1" applyAlignment="1"/>
    <xf numFmtId="0" fontId="5" fillId="4" borderId="4" xfId="0" applyFont="1" applyFill="1" applyBorder="1" applyAlignment="1"/>
    <xf numFmtId="0" fontId="18" fillId="7" borderId="3" xfId="0" applyFont="1" applyFill="1" applyBorder="1" applyAlignment="1"/>
    <xf numFmtId="0" fontId="5" fillId="4" borderId="3" xfId="0" applyFont="1" applyFill="1" applyBorder="1" applyAlignment="1"/>
    <xf numFmtId="0" fontId="1" fillId="6" borderId="3" xfId="0" applyFont="1" applyFill="1" applyBorder="1" applyAlignment="1"/>
    <xf numFmtId="2" fontId="5" fillId="7" borderId="11" xfId="0" applyNumberFormat="1" applyFont="1" applyFill="1" applyBorder="1" applyAlignment="1"/>
    <xf numFmtId="0" fontId="1" fillId="7" borderId="2" xfId="0" applyFont="1" applyFill="1" applyBorder="1" applyAlignment="1"/>
    <xf numFmtId="0" fontId="1" fillId="7" borderId="4" xfId="0" applyFont="1" applyFill="1" applyBorder="1" applyAlignment="1"/>
    <xf numFmtId="2" fontId="5" fillId="21" borderId="3" xfId="0" applyNumberFormat="1" applyFont="1" applyFill="1" applyBorder="1" applyAlignment="1"/>
    <xf numFmtId="0" fontId="0" fillId="21" borderId="3" xfId="0" applyFill="1" applyBorder="1" applyAlignment="1"/>
    <xf numFmtId="2" fontId="5" fillId="21" borderId="5" xfId="0" applyNumberFormat="1" applyFont="1" applyFill="1" applyBorder="1" applyAlignment="1"/>
    <xf numFmtId="0" fontId="0" fillId="21" borderId="5" xfId="0" applyFill="1" applyBorder="1" applyAlignment="1"/>
    <xf numFmtId="2" fontId="4" fillId="21" borderId="2" xfId="0" applyNumberFormat="1" applyFont="1" applyFill="1" applyBorder="1" applyAlignment="1">
      <alignment horizontal="center" vertical="center" wrapText="1"/>
    </xf>
    <xf numFmtId="0" fontId="1" fillId="21" borderId="2" xfId="0" applyFont="1" applyFill="1" applyBorder="1" applyAlignment="1">
      <alignment horizontal="center" vertical="center" wrapText="1"/>
    </xf>
    <xf numFmtId="0" fontId="1" fillId="21" borderId="4" xfId="0" applyFont="1" applyFill="1" applyBorder="1" applyAlignment="1">
      <alignment horizontal="center" vertical="center" wrapText="1"/>
    </xf>
    <xf numFmtId="2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2" fontId="5" fillId="6" borderId="11" xfId="0" applyNumberFormat="1" applyFont="1" applyFill="1" applyBorder="1" applyAlignment="1"/>
    <xf numFmtId="0" fontId="0" fillId="6" borderId="2" xfId="0" applyFill="1" applyBorder="1" applyAlignment="1"/>
    <xf numFmtId="0" fontId="0" fillId="6" borderId="4" xfId="0" applyFill="1" applyBorder="1" applyAlignment="1"/>
    <xf numFmtId="0" fontId="18" fillId="4" borderId="3" xfId="0" applyFont="1" applyFill="1" applyBorder="1" applyAlignment="1"/>
    <xf numFmtId="0" fontId="61" fillId="11" borderId="3" xfId="0" applyFont="1" applyFill="1" applyBorder="1" applyAlignment="1">
      <alignment horizontal="center" vertical="center" wrapText="1"/>
    </xf>
    <xf numFmtId="0" fontId="60" fillId="11" borderId="3" xfId="0" applyFont="1" applyFill="1" applyBorder="1" applyAlignment="1">
      <alignment horizontal="center" vertical="center" wrapText="1"/>
    </xf>
    <xf numFmtId="2" fontId="5" fillId="7" borderId="7" xfId="0" applyNumberFormat="1" applyFont="1" applyFill="1" applyBorder="1" applyAlignment="1"/>
    <xf numFmtId="0" fontId="18" fillId="7" borderId="7" xfId="0" applyFont="1" applyFill="1" applyBorder="1" applyAlignment="1"/>
    <xf numFmtId="2" fontId="5" fillId="4" borderId="18" xfId="0" applyNumberFormat="1" applyFont="1" applyFill="1" applyBorder="1" applyAlignment="1"/>
    <xf numFmtId="0" fontId="0" fillId="4" borderId="12" xfId="0" applyFill="1" applyBorder="1" applyAlignment="1"/>
    <xf numFmtId="0" fontId="0" fillId="4" borderId="9" xfId="0" applyFill="1" applyBorder="1" applyAlignment="1"/>
    <xf numFmtId="2" fontId="1" fillId="21" borderId="5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0" fontId="2" fillId="9" borderId="1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left"/>
    </xf>
    <xf numFmtId="0" fontId="2" fillId="9" borderId="22" xfId="0" applyFont="1" applyFill="1" applyBorder="1" applyAlignment="1">
      <alignment horizontal="left"/>
    </xf>
    <xf numFmtId="0" fontId="66" fillId="9" borderId="0" xfId="0" applyFont="1" applyFill="1" applyAlignment="1">
      <alignment vertical="center"/>
    </xf>
    <xf numFmtId="0" fontId="73" fillId="9" borderId="1" xfId="0" applyFont="1" applyFill="1" applyBorder="1" applyAlignment="1">
      <alignment vertical="center"/>
    </xf>
    <xf numFmtId="0" fontId="75" fillId="9" borderId="0" xfId="0" applyFont="1" applyFill="1" applyBorder="1" applyAlignment="1">
      <alignment vertical="center"/>
    </xf>
    <xf numFmtId="0" fontId="75" fillId="9" borderId="22" xfId="0" applyFont="1" applyFill="1" applyBorder="1" applyAlignment="1">
      <alignment vertical="center"/>
    </xf>
    <xf numFmtId="0" fontId="73" fillId="9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2" fontId="5" fillId="4" borderId="2" xfId="0" applyNumberFormat="1" applyFont="1" applyFill="1" applyBorder="1" applyAlignment="1"/>
    <xf numFmtId="2" fontId="5" fillId="4" borderId="4" xfId="0" applyNumberFormat="1" applyFont="1" applyFill="1" applyBorder="1" applyAlignment="1"/>
    <xf numFmtId="2" fontId="17" fillId="4" borderId="3" xfId="0" applyNumberFormat="1" applyFont="1" applyFill="1" applyBorder="1" applyAlignment="1"/>
    <xf numFmtId="0" fontId="39" fillId="4" borderId="3" xfId="0" applyFont="1" applyFill="1" applyBorder="1" applyAlignment="1"/>
    <xf numFmtId="2" fontId="5" fillId="7" borderId="18" xfId="0" applyNumberFormat="1" applyFont="1" applyFill="1" applyBorder="1" applyAlignment="1"/>
    <xf numFmtId="0" fontId="0" fillId="7" borderId="12" xfId="0" applyFill="1" applyBorder="1" applyAlignment="1"/>
    <xf numFmtId="0" fontId="0" fillId="7" borderId="9" xfId="0" applyFill="1" applyBorder="1" applyAlignment="1"/>
    <xf numFmtId="2" fontId="58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vertical="center" wrapText="1"/>
    </xf>
    <xf numFmtId="0" fontId="18" fillId="4" borderId="2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vertical="center" wrapText="1"/>
    </xf>
    <xf numFmtId="0" fontId="36" fillId="9" borderId="0" xfId="0" applyFont="1" applyFill="1" applyBorder="1" applyAlignment="1"/>
    <xf numFmtId="0" fontId="0" fillId="7" borderId="11" xfId="0" applyFill="1" applyBorder="1" applyAlignment="1"/>
    <xf numFmtId="0" fontId="36" fillId="7" borderId="18" xfId="0" applyFont="1" applyFill="1" applyBorder="1" applyAlignment="1"/>
    <xf numFmtId="0" fontId="36" fillId="7" borderId="12" xfId="0" applyFont="1" applyFill="1" applyBorder="1" applyAlignment="1"/>
    <xf numFmtId="2" fontId="58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/>
    <xf numFmtId="0" fontId="0" fillId="4" borderId="5" xfId="0" applyFill="1" applyBorder="1" applyAlignment="1"/>
    <xf numFmtId="0" fontId="17" fillId="4" borderId="11" xfId="0" applyFont="1" applyFill="1" applyBorder="1" applyAlignment="1"/>
    <xf numFmtId="0" fontId="39" fillId="4" borderId="2" xfId="0" applyFont="1" applyFill="1" applyBorder="1" applyAlignment="1"/>
    <xf numFmtId="0" fontId="39" fillId="4" borderId="4" xfId="0" applyFont="1" applyFill="1" applyBorder="1" applyAlignment="1"/>
    <xf numFmtId="0" fontId="2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2" fontId="5" fillId="21" borderId="3" xfId="0" applyNumberFormat="1" applyFont="1" applyFill="1" applyBorder="1" applyAlignment="1">
      <alignment wrapText="1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5" fillId="7" borderId="7" xfId="0" applyFont="1" applyFill="1" applyBorder="1" applyAlignment="1"/>
    <xf numFmtId="2" fontId="59" fillId="7" borderId="16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94" fillId="9" borderId="0" xfId="0" applyFont="1" applyFill="1" applyBorder="1" applyAlignment="1"/>
    <xf numFmtId="0" fontId="65" fillId="9" borderId="0" xfId="0" applyFont="1" applyFill="1" applyBorder="1" applyAlignment="1"/>
    <xf numFmtId="0" fontId="73" fillId="4" borderId="1" xfId="0" applyFont="1" applyFill="1" applyBorder="1" applyAlignment="1"/>
    <xf numFmtId="0" fontId="0" fillId="4" borderId="0" xfId="0" applyFill="1" applyBorder="1" applyAlignment="1"/>
    <xf numFmtId="0" fontId="66" fillId="9" borderId="0" xfId="0" applyFont="1" applyFill="1" applyBorder="1" applyAlignment="1"/>
    <xf numFmtId="0" fontId="73" fillId="9" borderId="0" xfId="0" applyFont="1" applyFill="1" applyBorder="1" applyAlignment="1"/>
    <xf numFmtId="0" fontId="73" fillId="9" borderId="22" xfId="0" applyFont="1" applyFill="1" applyBorder="1" applyAlignment="1"/>
    <xf numFmtId="0" fontId="0" fillId="0" borderId="0" xfId="0" applyAlignment="1"/>
    <xf numFmtId="2" fontId="58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/>
    <xf numFmtId="0" fontId="39" fillId="7" borderId="2" xfId="0" applyFont="1" applyFill="1" applyBorder="1" applyAlignment="1"/>
    <xf numFmtId="0" fontId="39" fillId="7" borderId="4" xfId="0" applyFont="1" applyFill="1" applyBorder="1" applyAlignment="1"/>
    <xf numFmtId="2" fontId="2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0" fillId="4" borderId="11" xfId="0" applyFill="1" applyBorder="1" applyAlignment="1"/>
    <xf numFmtId="0" fontId="52" fillId="0" borderId="0" xfId="2" applyFont="1" applyAlignment="1" applyProtection="1"/>
    <xf numFmtId="0" fontId="5" fillId="7" borderId="5" xfId="0" applyFont="1" applyFill="1" applyBorder="1" applyAlignment="1"/>
    <xf numFmtId="0" fontId="5" fillId="21" borderId="5" xfId="0" applyFont="1" applyFill="1" applyBorder="1" applyAlignment="1"/>
    <xf numFmtId="2" fontId="58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/>
    <xf numFmtId="0" fontId="0" fillId="7" borderId="25" xfId="0" applyFill="1" applyBorder="1" applyAlignment="1"/>
    <xf numFmtId="0" fontId="0" fillId="7" borderId="19" xfId="0" applyFill="1" applyBorder="1" applyAlignment="1"/>
    <xf numFmtId="0" fontId="52" fillId="2" borderId="0" xfId="2" applyFont="1" applyFill="1" applyAlignment="1" applyProtection="1"/>
    <xf numFmtId="2" fontId="4" fillId="6" borderId="1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63" fillId="2" borderId="7" xfId="2" applyFont="1" applyFill="1" applyBorder="1" applyAlignment="1" applyProtection="1">
      <alignment horizontal="center" vertical="center"/>
    </xf>
    <xf numFmtId="0" fontId="63" fillId="0" borderId="5" xfId="2" applyFont="1" applyBorder="1" applyAlignment="1" applyProtection="1">
      <alignment horizontal="center" vertical="center"/>
    </xf>
    <xf numFmtId="0" fontId="45" fillId="19" borderId="16" xfId="0" applyFont="1" applyFill="1" applyBorder="1" applyAlignment="1">
      <alignment horizontal="left" vertical="center" wrapText="1"/>
    </xf>
    <xf numFmtId="0" fontId="18" fillId="19" borderId="25" xfId="0" applyFont="1" applyFill="1" applyBorder="1" applyAlignment="1">
      <alignment horizontal="left" vertical="center" wrapText="1"/>
    </xf>
    <xf numFmtId="0" fontId="18" fillId="19" borderId="19" xfId="0" applyFont="1" applyFill="1" applyBorder="1" applyAlignment="1">
      <alignment horizontal="left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44" fillId="19" borderId="25" xfId="0" applyFont="1" applyFill="1" applyBorder="1" applyAlignment="1">
      <alignment horizontal="center" vertical="center" wrapText="1"/>
    </xf>
    <xf numFmtId="0" fontId="44" fillId="19" borderId="19" xfId="0" applyFont="1" applyFill="1" applyBorder="1" applyAlignment="1">
      <alignment horizontal="center" vertical="center" wrapText="1"/>
    </xf>
    <xf numFmtId="0" fontId="87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15" fillId="19" borderId="18" xfId="2" applyFont="1" applyFill="1" applyBorder="1" applyAlignment="1" applyProtection="1">
      <alignment horizontal="left" vertical="center"/>
    </xf>
    <xf numFmtId="0" fontId="115" fillId="19" borderId="12" xfId="2" applyFont="1" applyFill="1" applyBorder="1" applyAlignment="1" applyProtection="1">
      <alignment horizontal="left" vertical="center"/>
    </xf>
    <xf numFmtId="0" fontId="90" fillId="20" borderId="11" xfId="0" applyFont="1" applyFill="1" applyBorder="1" applyAlignment="1">
      <alignment horizontal="center" vertical="center"/>
    </xf>
    <xf numFmtId="0" fontId="91" fillId="20" borderId="2" xfId="0" applyFont="1" applyFill="1" applyBorder="1" applyAlignment="1">
      <alignment horizontal="center" vertical="center"/>
    </xf>
    <xf numFmtId="0" fontId="91" fillId="20" borderId="4" xfId="0" applyFont="1" applyFill="1" applyBorder="1" applyAlignment="1">
      <alignment horizontal="center" vertical="center"/>
    </xf>
    <xf numFmtId="0" fontId="118" fillId="19" borderId="16" xfId="0" applyFont="1" applyFill="1" applyBorder="1" applyAlignment="1">
      <alignment horizontal="center" vertical="center" wrapText="1"/>
    </xf>
    <xf numFmtId="0" fontId="5" fillId="19" borderId="25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center" vertical="center" wrapText="1"/>
    </xf>
    <xf numFmtId="0" fontId="14" fillId="19" borderId="18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14" fillId="19" borderId="16" xfId="2" applyFont="1" applyFill="1" applyBorder="1" applyAlignment="1" applyProtection="1">
      <alignment horizontal="center" vertical="center" wrapText="1"/>
    </xf>
    <xf numFmtId="0" fontId="114" fillId="19" borderId="25" xfId="2" applyFont="1" applyFill="1" applyBorder="1" applyAlignment="1" applyProtection="1">
      <alignment horizontal="center" vertical="center" wrapText="1"/>
    </xf>
    <xf numFmtId="0" fontId="114" fillId="19" borderId="19" xfId="2" applyFont="1" applyFill="1" applyBorder="1" applyAlignment="1" applyProtection="1">
      <alignment horizontal="center" vertical="center" wrapText="1"/>
    </xf>
    <xf numFmtId="0" fontId="114" fillId="19" borderId="18" xfId="2" applyFont="1" applyFill="1" applyBorder="1" applyAlignment="1" applyProtection="1">
      <alignment horizontal="center" vertical="center" wrapText="1"/>
    </xf>
    <xf numFmtId="0" fontId="114" fillId="19" borderId="12" xfId="2" applyFont="1" applyFill="1" applyBorder="1" applyAlignment="1" applyProtection="1">
      <alignment horizontal="center" vertical="center" wrapText="1"/>
    </xf>
    <xf numFmtId="0" fontId="114" fillId="19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2" fillId="8" borderId="11" xfId="0" applyFont="1" applyFill="1" applyBorder="1" applyAlignment="1">
      <alignment horizontal="center" vertical="center" wrapText="1"/>
    </xf>
    <xf numFmtId="0" fontId="112" fillId="8" borderId="2" xfId="0" applyFont="1" applyFill="1" applyBorder="1" applyAlignment="1">
      <alignment horizontal="center" vertical="center" wrapText="1"/>
    </xf>
    <xf numFmtId="0" fontId="113" fillId="8" borderId="4" xfId="0" applyFont="1" applyFill="1" applyBorder="1" applyAlignment="1">
      <alignment horizontal="center" vertical="center" wrapText="1"/>
    </xf>
    <xf numFmtId="0" fontId="53" fillId="3" borderId="11" xfId="0" applyFont="1" applyFill="1" applyBorder="1" applyAlignment="1">
      <alignment horizontal="center" wrapText="1"/>
    </xf>
    <xf numFmtId="0" fontId="53" fillId="3" borderId="2" xfId="0" applyFont="1" applyFill="1" applyBorder="1" applyAlignment="1">
      <alignment horizontal="center" wrapText="1"/>
    </xf>
    <xf numFmtId="0" fontId="47" fillId="3" borderId="4" xfId="0" applyFont="1" applyFill="1" applyBorder="1" applyAlignment="1">
      <alignment horizontal="center" wrapText="1"/>
    </xf>
    <xf numFmtId="0" fontId="37" fillId="9" borderId="16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93" fillId="4" borderId="11" xfId="0" applyFont="1" applyFill="1" applyBorder="1" applyAlignment="1">
      <alignment horizontal="center" vertical="center"/>
    </xf>
    <xf numFmtId="0" fontId="91" fillId="4" borderId="2" xfId="0" applyFont="1" applyFill="1" applyBorder="1" applyAlignment="1">
      <alignment horizontal="center" vertical="center"/>
    </xf>
    <xf numFmtId="0" fontId="91" fillId="4" borderId="2" xfId="0" applyFont="1" applyFill="1" applyBorder="1" applyAlignment="1"/>
    <xf numFmtId="0" fontId="91" fillId="4" borderId="4" xfId="0" applyFont="1" applyFill="1" applyBorder="1" applyAlignment="1"/>
    <xf numFmtId="0" fontId="110" fillId="19" borderId="11" xfId="0" applyFont="1" applyFill="1" applyBorder="1" applyAlignment="1">
      <alignment horizontal="center" vertical="center" wrapText="1"/>
    </xf>
    <xf numFmtId="0" fontId="111" fillId="19" borderId="2" xfId="0" applyFont="1" applyFill="1" applyBorder="1" applyAlignment="1">
      <alignment horizontal="center" vertical="center" wrapText="1"/>
    </xf>
    <xf numFmtId="0" fontId="111" fillId="19" borderId="4" xfId="0" applyFont="1" applyFill="1" applyBorder="1" applyAlignment="1">
      <alignment horizontal="center" vertical="center" wrapText="1"/>
    </xf>
    <xf numFmtId="0" fontId="88" fillId="13" borderId="11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/>
    </xf>
    <xf numFmtId="0" fontId="78" fillId="13" borderId="4" xfId="0" applyFont="1" applyFill="1" applyBorder="1" applyAlignment="1">
      <alignment horizontal="center"/>
    </xf>
    <xf numFmtId="0" fontId="12" fillId="19" borderId="11" xfId="2" applyFill="1" applyBorder="1" applyAlignment="1" applyProtection="1">
      <alignment horizontal="center" vertical="center" wrapText="1"/>
    </xf>
    <xf numFmtId="0" fontId="12" fillId="19" borderId="2" xfId="2" applyFill="1" applyBorder="1" applyAlignment="1" applyProtection="1">
      <alignment horizontal="center" vertical="center" wrapText="1"/>
    </xf>
    <xf numFmtId="0" fontId="12" fillId="19" borderId="4" xfId="2" applyFill="1" applyBorder="1" applyAlignment="1" applyProtection="1">
      <alignment horizontal="center" vertical="center" wrapText="1"/>
    </xf>
    <xf numFmtId="0" fontId="89" fillId="4" borderId="0" xfId="2" applyFont="1" applyFill="1" applyBorder="1" applyAlignment="1" applyProtection="1">
      <alignment horizontal="center" vertical="center" wrapText="1"/>
    </xf>
    <xf numFmtId="0" fontId="5" fillId="4" borderId="18" xfId="0" applyNumberFormat="1" applyFont="1" applyFill="1" applyBorder="1" applyAlignment="1"/>
    <xf numFmtId="0" fontId="0" fillId="4" borderId="12" xfId="0" applyNumberFormat="1" applyFill="1" applyBorder="1" applyAlignment="1"/>
    <xf numFmtId="0" fontId="0" fillId="4" borderId="9" xfId="0" applyNumberFormat="1" applyFill="1" applyBorder="1" applyAlignment="1"/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4" fillId="6" borderId="18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2" fontId="58" fillId="7" borderId="7" xfId="0" applyNumberFormat="1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horizontal="left"/>
    </xf>
    <xf numFmtId="2" fontId="59" fillId="4" borderId="16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66" fillId="9" borderId="22" xfId="0" applyFont="1" applyFill="1" applyBorder="1" applyAlignment="1"/>
    <xf numFmtId="2" fontId="17" fillId="7" borderId="3" xfId="0" applyNumberFormat="1" applyFont="1" applyFill="1" applyBorder="1" applyAlignment="1"/>
    <xf numFmtId="0" fontId="39" fillId="7" borderId="3" xfId="0" applyFont="1" applyFill="1" applyBorder="1" applyAlignment="1"/>
    <xf numFmtId="0" fontId="72" fillId="12" borderId="19" xfId="0" applyFont="1" applyFill="1" applyBorder="1" applyAlignment="1">
      <alignment horizontal="center" vertical="center" wrapText="1"/>
    </xf>
    <xf numFmtId="0" fontId="72" fillId="12" borderId="9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/>
    <xf numFmtId="2" fontId="4" fillId="21" borderId="18" xfId="0" applyNumberFormat="1" applyFont="1" applyFill="1" applyBorder="1" applyAlignment="1">
      <alignment horizontal="center" vertical="center"/>
    </xf>
    <xf numFmtId="2" fontId="4" fillId="21" borderId="12" xfId="0" applyNumberFormat="1" applyFont="1" applyFill="1" applyBorder="1" applyAlignment="1">
      <alignment horizontal="center" vertical="center"/>
    </xf>
    <xf numFmtId="0" fontId="0" fillId="7" borderId="18" xfId="0" applyFill="1" applyBorder="1" applyAlignment="1"/>
    <xf numFmtId="0" fontId="0" fillId="7" borderId="7" xfId="0" applyFill="1" applyBorder="1" applyAlignment="1"/>
    <xf numFmtId="0" fontId="18" fillId="4" borderId="2" xfId="0" applyFont="1" applyFill="1" applyBorder="1" applyAlignment="1"/>
    <xf numFmtId="0" fontId="18" fillId="4" borderId="4" xfId="0" applyFont="1" applyFill="1" applyBorder="1" applyAlignment="1"/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0" fontId="105" fillId="12" borderId="16" xfId="0" applyFont="1" applyFill="1" applyBorder="1" applyAlignment="1">
      <alignment horizontal="center" vertical="center" wrapText="1"/>
    </xf>
    <xf numFmtId="0" fontId="105" fillId="12" borderId="25" xfId="0" applyFont="1" applyFill="1" applyBorder="1" applyAlignment="1">
      <alignment horizontal="center" vertical="center" wrapText="1"/>
    </xf>
    <xf numFmtId="0" fontId="105" fillId="12" borderId="19" xfId="0" applyFont="1" applyFill="1" applyBorder="1" applyAlignment="1">
      <alignment horizontal="center" vertical="center" wrapText="1"/>
    </xf>
    <xf numFmtId="0" fontId="105" fillId="12" borderId="1" xfId="0" applyFont="1" applyFill="1" applyBorder="1" applyAlignment="1">
      <alignment horizontal="center" vertical="center" wrapText="1"/>
    </xf>
    <xf numFmtId="0" fontId="105" fillId="12" borderId="0" xfId="0" applyFont="1" applyFill="1" applyBorder="1" applyAlignment="1">
      <alignment horizontal="center" vertical="center" wrapText="1"/>
    </xf>
    <xf numFmtId="0" fontId="105" fillId="12" borderId="22" xfId="0" applyFont="1" applyFill="1" applyBorder="1" applyAlignment="1">
      <alignment horizontal="center" vertical="center" wrapText="1"/>
    </xf>
    <xf numFmtId="0" fontId="105" fillId="12" borderId="18" xfId="0" applyFont="1" applyFill="1" applyBorder="1" applyAlignment="1">
      <alignment horizontal="center" vertical="center" wrapText="1"/>
    </xf>
    <xf numFmtId="0" fontId="105" fillId="12" borderId="12" xfId="0" applyFont="1" applyFill="1" applyBorder="1" applyAlignment="1">
      <alignment horizontal="center" vertical="center" wrapText="1"/>
    </xf>
    <xf numFmtId="0" fontId="105" fillId="12" borderId="9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4" borderId="11" xfId="0" applyNumberFormat="1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2" fontId="4" fillId="7" borderId="11" xfId="0" applyNumberFormat="1" applyFont="1" applyFill="1" applyBorder="1" applyAlignment="1">
      <alignment vertical="center" wrapText="1"/>
    </xf>
    <xf numFmtId="2" fontId="4" fillId="7" borderId="2" xfId="0" applyNumberFormat="1" applyFont="1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51" fillId="15" borderId="18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65" fillId="0" borderId="0" xfId="0" applyFont="1" applyAlignment="1"/>
    <xf numFmtId="0" fontId="65" fillId="0" borderId="22" xfId="0" applyFont="1" applyBorder="1" applyAlignment="1"/>
    <xf numFmtId="0" fontId="73" fillId="9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1" fillId="6" borderId="3" xfId="0" applyFont="1" applyFill="1" applyBorder="1" applyAlignment="1">
      <alignment wrapText="1"/>
    </xf>
    <xf numFmtId="0" fontId="5" fillId="7" borderId="11" xfId="0" applyNumberFormat="1" applyFont="1" applyFill="1" applyBorder="1" applyAlignment="1"/>
    <xf numFmtId="0" fontId="0" fillId="7" borderId="2" xfId="0" applyNumberFormat="1" applyFill="1" applyBorder="1" applyAlignment="1"/>
    <xf numFmtId="0" fontId="0" fillId="7" borderId="4" xfId="0" applyNumberFormat="1" applyFill="1" applyBorder="1" applyAlignment="1"/>
    <xf numFmtId="0" fontId="18" fillId="7" borderId="2" xfId="0" applyFont="1" applyFill="1" applyBorder="1" applyAlignment="1"/>
    <xf numFmtId="0" fontId="18" fillId="7" borderId="4" xfId="0" applyFont="1" applyFill="1" applyBorder="1" applyAlignment="1"/>
    <xf numFmtId="0" fontId="1" fillId="7" borderId="3" xfId="0" applyFont="1" applyFill="1" applyBorder="1" applyAlignment="1">
      <alignment wrapText="1"/>
    </xf>
    <xf numFmtId="0" fontId="88" fillId="10" borderId="0" xfId="0" applyFont="1" applyFill="1" applyBorder="1" applyAlignment="1">
      <alignment horizontal="center" vertical="center" wrapText="1"/>
    </xf>
    <xf numFmtId="0" fontId="80" fillId="10" borderId="0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/>
    <xf numFmtId="2" fontId="40" fillId="7" borderId="3" xfId="0" applyNumberFormat="1" applyFont="1" applyFill="1" applyBorder="1" applyAlignment="1">
      <alignment horizontal="center" vertical="center" wrapText="1"/>
    </xf>
    <xf numFmtId="2" fontId="45" fillId="7" borderId="3" xfId="0" applyNumberFormat="1" applyFont="1" applyFill="1" applyBorder="1" applyAlignment="1">
      <alignment horizontal="center" vertical="center" wrapText="1"/>
    </xf>
    <xf numFmtId="0" fontId="60" fillId="7" borderId="3" xfId="0" applyFont="1" applyFill="1" applyBorder="1" applyAlignment="1">
      <alignment horizontal="center" vertical="center" wrapText="1"/>
    </xf>
    <xf numFmtId="2" fontId="5" fillId="21" borderId="11" xfId="0" applyNumberFormat="1" applyFont="1" applyFill="1" applyBorder="1" applyAlignment="1"/>
    <xf numFmtId="0" fontId="0" fillId="21" borderId="2" xfId="0" applyFill="1" applyBorder="1" applyAlignment="1"/>
    <xf numFmtId="0" fontId="0" fillId="21" borderId="4" xfId="0" applyFill="1" applyBorder="1" applyAlignment="1"/>
    <xf numFmtId="2" fontId="5" fillId="6" borderId="2" xfId="0" applyNumberFormat="1" applyFont="1" applyFill="1" applyBorder="1" applyAlignment="1"/>
    <xf numFmtId="2" fontId="5" fillId="6" borderId="4" xfId="0" applyNumberFormat="1" applyFont="1" applyFill="1" applyBorder="1" applyAlignment="1"/>
    <xf numFmtId="0" fontId="66" fillId="12" borderId="16" xfId="0" applyFont="1" applyFill="1" applyBorder="1" applyAlignment="1">
      <alignment horizontal="center" vertical="center" wrapText="1"/>
    </xf>
    <xf numFmtId="0" fontId="66" fillId="12" borderId="25" xfId="0" applyFont="1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66" fillId="12" borderId="1" xfId="0" applyFont="1" applyFill="1" applyBorder="1" applyAlignment="1">
      <alignment horizontal="center" vertical="center" wrapText="1"/>
    </xf>
    <xf numFmtId="0" fontId="66" fillId="1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2" fontId="5" fillId="0" borderId="11" xfId="0" applyNumberFormat="1" applyFont="1" applyFill="1" applyBorder="1" applyAlignment="1"/>
    <xf numFmtId="0" fontId="0" fillId="0" borderId="2" xfId="0" applyFill="1" applyBorder="1" applyAlignment="1"/>
    <xf numFmtId="0" fontId="0" fillId="0" borderId="4" xfId="0" applyFill="1" applyBorder="1" applyAlignment="1"/>
    <xf numFmtId="0" fontId="1" fillId="4" borderId="5" xfId="0" applyFont="1" applyFill="1" applyBorder="1" applyAlignment="1"/>
    <xf numFmtId="2" fontId="5" fillId="21" borderId="2" xfId="0" applyNumberFormat="1" applyFont="1" applyFill="1" applyBorder="1" applyAlignment="1"/>
    <xf numFmtId="2" fontId="5" fillId="21" borderId="4" xfId="0" applyNumberFormat="1" applyFont="1" applyFill="1" applyBorder="1" applyAlignment="1"/>
    <xf numFmtId="0" fontId="1" fillId="21" borderId="3" xfId="0" applyFont="1" applyFill="1" applyBorder="1" applyAlignment="1"/>
    <xf numFmtId="0" fontId="26" fillId="9" borderId="0" xfId="0" applyFont="1" applyFill="1" applyBorder="1" applyAlignment="1">
      <alignment wrapText="1"/>
    </xf>
    <xf numFmtId="0" fontId="9" fillId="9" borderId="0" xfId="0" applyFont="1" applyFill="1" applyBorder="1" applyAlignment="1">
      <alignment wrapText="1"/>
    </xf>
    <xf numFmtId="0" fontId="9" fillId="9" borderId="22" xfId="0" applyFont="1" applyFill="1" applyBorder="1" applyAlignment="1">
      <alignment wrapText="1"/>
    </xf>
    <xf numFmtId="0" fontId="84" fillId="7" borderId="3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wrapText="1"/>
    </xf>
    <xf numFmtId="0" fontId="18" fillId="7" borderId="3" xfId="0" applyFont="1" applyFill="1" applyBorder="1" applyAlignment="1">
      <alignment wrapText="1"/>
    </xf>
    <xf numFmtId="2" fontId="5" fillId="4" borderId="11" xfId="0" applyNumberFormat="1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2" fontId="17" fillId="7" borderId="11" xfId="0" applyNumberFormat="1" applyFont="1" applyFill="1" applyBorder="1" applyAlignment="1"/>
    <xf numFmtId="2" fontId="0" fillId="7" borderId="3" xfId="0" applyNumberFormat="1" applyFill="1" applyBorder="1" applyAlignment="1"/>
    <xf numFmtId="2" fontId="0" fillId="4" borderId="3" xfId="0" applyNumberFormat="1" applyFill="1" applyBorder="1" applyAlignment="1"/>
    <xf numFmtId="0" fontId="0" fillId="6" borderId="3" xfId="0" applyFill="1" applyBorder="1" applyAlignment="1">
      <alignment wrapText="1"/>
    </xf>
    <xf numFmtId="2" fontId="5" fillId="6" borderId="5" xfId="0" applyNumberFormat="1" applyFont="1" applyFill="1" applyBorder="1" applyAlignment="1"/>
    <xf numFmtId="0" fontId="18" fillId="6" borderId="5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0" fillId="13" borderId="11" xfId="2" applyFont="1" applyFill="1" applyBorder="1" applyAlignment="1" applyProtection="1">
      <alignment horizontal="center" vertical="center" wrapText="1"/>
    </xf>
    <xf numFmtId="0" fontId="100" fillId="13" borderId="2" xfId="2" applyFont="1" applyFill="1" applyBorder="1" applyAlignment="1" applyProtection="1">
      <alignment horizontal="center" vertical="center" wrapText="1"/>
    </xf>
    <xf numFmtId="0" fontId="100" fillId="13" borderId="4" xfId="2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wrapText="1"/>
    </xf>
    <xf numFmtId="0" fontId="9" fillId="19" borderId="19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wrapText="1"/>
    </xf>
    <xf numFmtId="0" fontId="9" fillId="19" borderId="22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wrapText="1"/>
    </xf>
    <xf numFmtId="0" fontId="9" fillId="19" borderId="0" xfId="0" applyFont="1" applyFill="1" applyBorder="1" applyAlignment="1">
      <alignment horizontal="left" wrapText="1"/>
    </xf>
    <xf numFmtId="0" fontId="0" fillId="19" borderId="1" xfId="0" applyFill="1" applyBorder="1" applyAlignment="1">
      <alignment wrapText="1"/>
    </xf>
    <xf numFmtId="0" fontId="0" fillId="19" borderId="0" xfId="0" applyFill="1" applyBorder="1" applyAlignment="1">
      <alignment wrapText="1"/>
    </xf>
    <xf numFmtId="0" fontId="0" fillId="19" borderId="22" xfId="0" applyFill="1" applyBorder="1" applyAlignment="1">
      <alignment wrapText="1"/>
    </xf>
    <xf numFmtId="0" fontId="0" fillId="19" borderId="18" xfId="0" applyFill="1" applyBorder="1" applyAlignment="1">
      <alignment wrapText="1"/>
    </xf>
    <xf numFmtId="0" fontId="0" fillId="19" borderId="12" xfId="0" applyFill="1" applyBorder="1" applyAlignment="1">
      <alignment wrapText="1"/>
    </xf>
    <xf numFmtId="0" fontId="0" fillId="19" borderId="9" xfId="0" applyFill="1" applyBorder="1" applyAlignment="1">
      <alignment wrapText="1"/>
    </xf>
    <xf numFmtId="0" fontId="104" fillId="1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9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wrapText="1"/>
    </xf>
    <xf numFmtId="0" fontId="1" fillId="19" borderId="0" xfId="0" applyFont="1" applyFill="1" applyBorder="1" applyAlignment="1">
      <alignment wrapText="1"/>
    </xf>
    <xf numFmtId="0" fontId="1" fillId="19" borderId="22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19" borderId="18" xfId="0" applyFont="1" applyFill="1" applyBorder="1" applyAlignment="1">
      <alignment wrapText="1"/>
    </xf>
    <xf numFmtId="0" fontId="5" fillId="19" borderId="12" xfId="0" applyFont="1" applyFill="1" applyBorder="1" applyAlignment="1">
      <alignment wrapText="1"/>
    </xf>
    <xf numFmtId="0" fontId="1" fillId="19" borderId="12" xfId="0" applyFont="1" applyFill="1" applyBorder="1" applyAlignment="1">
      <alignment wrapText="1"/>
    </xf>
    <xf numFmtId="0" fontId="1" fillId="19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2" fillId="13" borderId="37" xfId="0" applyFont="1" applyFill="1" applyBorder="1" applyAlignment="1">
      <alignment horizontal="center" vertical="center" wrapText="1"/>
    </xf>
    <xf numFmtId="0" fontId="78" fillId="13" borderId="29" xfId="0" applyFont="1" applyFill="1" applyBorder="1" applyAlignment="1">
      <alignment horizontal="center" vertical="center" wrapText="1"/>
    </xf>
    <xf numFmtId="0" fontId="78" fillId="13" borderId="30" xfId="0" applyFont="1" applyFill="1" applyBorder="1" applyAlignment="1">
      <alignment horizontal="center" vertical="center" wrapText="1"/>
    </xf>
    <xf numFmtId="2" fontId="76" fillId="15" borderId="15" xfId="0" applyNumberFormat="1" applyFont="1" applyFill="1" applyBorder="1" applyAlignment="1">
      <alignment horizontal="center" vertical="center" wrapText="1"/>
    </xf>
    <xf numFmtId="0" fontId="104" fillId="15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77" fillId="15" borderId="15" xfId="0" applyNumberFormat="1" applyFont="1" applyFill="1" applyBorder="1" applyAlignment="1">
      <alignment horizontal="center" vertical="center" wrapText="1"/>
    </xf>
    <xf numFmtId="0" fontId="78" fillId="15" borderId="15" xfId="0" applyFont="1" applyFill="1" applyBorder="1" applyAlignment="1">
      <alignment horizontal="center" vertical="center" wrapText="1"/>
    </xf>
    <xf numFmtId="0" fontId="85" fillId="13" borderId="3" xfId="0" applyFont="1" applyFill="1" applyBorder="1" applyAlignment="1">
      <alignment horizontal="center" vertical="center" wrapText="1"/>
    </xf>
    <xf numFmtId="0" fontId="86" fillId="13" borderId="3" xfId="0" applyFont="1" applyFill="1" applyBorder="1" applyAlignment="1">
      <alignment horizontal="center" vertical="center" wrapText="1"/>
    </xf>
    <xf numFmtId="2" fontId="28" fillId="5" borderId="11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97" fillId="10" borderId="11" xfId="0" applyFont="1" applyFill="1" applyBorder="1" applyAlignment="1">
      <alignment horizontal="center" vertical="center" wrapText="1"/>
    </xf>
    <xf numFmtId="0" fontId="97" fillId="10" borderId="2" xfId="0" applyFont="1" applyFill="1" applyBorder="1" applyAlignment="1">
      <alignment horizontal="center" vertical="center" wrapText="1"/>
    </xf>
    <xf numFmtId="0" fontId="98" fillId="10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04" fillId="15" borderId="5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2" fontId="84" fillId="7" borderId="3" xfId="0" applyNumberFormat="1" applyFont="1" applyFill="1" applyBorder="1" applyAlignment="1"/>
    <xf numFmtId="0" fontId="83" fillId="7" borderId="3" xfId="0" applyFont="1" applyFill="1" applyBorder="1" applyAlignment="1"/>
    <xf numFmtId="0" fontId="15" fillId="9" borderId="1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0" fontId="26" fillId="9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0" fontId="36" fillId="9" borderId="0" xfId="0" applyFont="1" applyFill="1" applyAlignment="1"/>
    <xf numFmtId="2" fontId="5" fillId="4" borderId="7" xfId="0" applyNumberFormat="1" applyFont="1" applyFill="1" applyBorder="1" applyAlignment="1"/>
    <xf numFmtId="0" fontId="0" fillId="4" borderId="7" xfId="0" applyFill="1" applyBorder="1" applyAlignment="1"/>
    <xf numFmtId="0" fontId="18" fillId="4" borderId="7" xfId="0" applyFont="1" applyFill="1" applyBorder="1" applyAlignment="1"/>
    <xf numFmtId="2" fontId="5" fillId="21" borderId="11" xfId="0" applyNumberFormat="1" applyFont="1" applyFill="1" applyBorder="1" applyAlignment="1">
      <alignment wrapText="1"/>
    </xf>
    <xf numFmtId="0" fontId="0" fillId="21" borderId="2" xfId="0" applyFill="1" applyBorder="1" applyAlignment="1">
      <alignment wrapText="1"/>
    </xf>
    <xf numFmtId="0" fontId="0" fillId="21" borderId="4" xfId="0" applyFill="1" applyBorder="1" applyAlignment="1">
      <alignment wrapText="1"/>
    </xf>
    <xf numFmtId="2" fontId="84" fillId="4" borderId="11" xfId="0" applyNumberFormat="1" applyFont="1" applyFill="1" applyBorder="1" applyAlignment="1"/>
    <xf numFmtId="0" fontId="66" fillId="9" borderId="0" xfId="0" applyFont="1" applyFill="1" applyAlignment="1"/>
    <xf numFmtId="0" fontId="18" fillId="21" borderId="5" xfId="0" applyFont="1" applyFill="1" applyBorder="1" applyAlignment="1"/>
    <xf numFmtId="0" fontId="76" fillId="17" borderId="5" xfId="0" applyFont="1" applyFill="1" applyBorder="1" applyAlignment="1"/>
    <xf numFmtId="0" fontId="104" fillId="17" borderId="5" xfId="0" applyFont="1" applyFill="1" applyBorder="1" applyAlignment="1"/>
    <xf numFmtId="2" fontId="5" fillId="4" borderId="16" xfId="0" applyNumberFormat="1" applyFont="1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85" fillId="13" borderId="16" xfId="0" applyFont="1" applyFill="1" applyBorder="1" applyAlignment="1">
      <alignment horizontal="center" vertical="center" wrapText="1"/>
    </xf>
    <xf numFmtId="0" fontId="86" fillId="13" borderId="25" xfId="0" applyFont="1" applyFill="1" applyBorder="1" applyAlignment="1">
      <alignment horizontal="center" vertical="center" wrapText="1"/>
    </xf>
    <xf numFmtId="0" fontId="86" fillId="13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6" fillId="13" borderId="11" xfId="0" applyNumberFormat="1" applyFont="1" applyFill="1" applyBorder="1" applyAlignment="1">
      <alignment horizontal="center" vertical="center"/>
    </xf>
    <xf numFmtId="0" fontId="76" fillId="13" borderId="2" xfId="0" applyFont="1" applyFill="1" applyBorder="1" applyAlignment="1">
      <alignment horizontal="center" vertical="center"/>
    </xf>
    <xf numFmtId="0" fontId="78" fillId="13" borderId="4" xfId="0" applyFont="1" applyFill="1" applyBorder="1" applyAlignment="1">
      <alignment horizontal="center" vertical="center"/>
    </xf>
    <xf numFmtId="0" fontId="78" fillId="10" borderId="0" xfId="0" applyFont="1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horizontal="center" vertical="center" wrapText="1"/>
    </xf>
    <xf numFmtId="0" fontId="0" fillId="19" borderId="0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2" fontId="4" fillId="19" borderId="1" xfId="0" applyNumberFormat="1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horizontal="center" vertical="center" wrapText="1"/>
    </xf>
    <xf numFmtId="0" fontId="77" fillId="13" borderId="23" xfId="0" applyFont="1" applyFill="1" applyBorder="1" applyAlignment="1">
      <alignment horizontal="center" vertical="center" wrapText="1"/>
    </xf>
    <xf numFmtId="0" fontId="77" fillId="13" borderId="26" xfId="0" applyFont="1" applyFill="1" applyBorder="1" applyAlignment="1">
      <alignment horizontal="center" vertical="center" wrapText="1"/>
    </xf>
    <xf numFmtId="0" fontId="77" fillId="13" borderId="27" xfId="0" applyFont="1" applyFill="1" applyBorder="1" applyAlignment="1">
      <alignment horizontal="center" vertical="center" wrapText="1"/>
    </xf>
    <xf numFmtId="0" fontId="77" fillId="13" borderId="6" xfId="0" applyFont="1" applyFill="1" applyBorder="1" applyAlignment="1">
      <alignment horizontal="center" vertical="center" wrapText="1"/>
    </xf>
    <xf numFmtId="0" fontId="77" fillId="13" borderId="0" xfId="0" applyFont="1" applyFill="1" applyBorder="1" applyAlignment="1">
      <alignment horizontal="center" vertical="center" wrapText="1"/>
    </xf>
    <xf numFmtId="0" fontId="77" fillId="13" borderId="13" xfId="0" applyFont="1" applyFill="1" applyBorder="1" applyAlignment="1">
      <alignment horizontal="center" vertical="center" wrapText="1"/>
    </xf>
    <xf numFmtId="0" fontId="77" fillId="13" borderId="24" xfId="0" applyFont="1" applyFill="1" applyBorder="1" applyAlignment="1">
      <alignment horizontal="center" vertical="center" wrapText="1"/>
    </xf>
    <xf numFmtId="0" fontId="77" fillId="13" borderId="20" xfId="0" applyFont="1" applyFill="1" applyBorder="1" applyAlignment="1">
      <alignment horizontal="center" vertical="center" wrapText="1"/>
    </xf>
    <xf numFmtId="0" fontId="77" fillId="13" borderId="28" xfId="0" applyFont="1" applyFill="1" applyBorder="1" applyAlignment="1">
      <alignment horizontal="center" vertical="center" wrapText="1"/>
    </xf>
    <xf numFmtId="0" fontId="1" fillId="19" borderId="25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0" fontId="5" fillId="21" borderId="11" xfId="0" applyFont="1" applyFill="1" applyBorder="1" applyAlignment="1"/>
    <xf numFmtId="0" fontId="5" fillId="21" borderId="2" xfId="0" applyFont="1" applyFill="1" applyBorder="1" applyAlignment="1"/>
    <xf numFmtId="0" fontId="5" fillId="21" borderId="4" xfId="0" applyFont="1" applyFill="1" applyBorder="1" applyAlignment="1"/>
    <xf numFmtId="0" fontId="84" fillId="4" borderId="3" xfId="0" applyFont="1" applyFill="1" applyBorder="1" applyAlignment="1">
      <alignment horizontal="left" wrapText="1"/>
    </xf>
    <xf numFmtId="0" fontId="65" fillId="12" borderId="25" xfId="0" applyFont="1" applyFill="1" applyBorder="1" applyAlignment="1">
      <alignment horizontal="center" vertical="center" wrapText="1"/>
    </xf>
    <xf numFmtId="0" fontId="65" fillId="12" borderId="19" xfId="0" applyFont="1" applyFill="1" applyBorder="1" applyAlignment="1">
      <alignment horizontal="center" vertical="center" wrapText="1"/>
    </xf>
    <xf numFmtId="0" fontId="65" fillId="12" borderId="1" xfId="0" applyFont="1" applyFill="1" applyBorder="1" applyAlignment="1">
      <alignment horizontal="center" vertical="center" wrapText="1"/>
    </xf>
    <xf numFmtId="0" fontId="65" fillId="12" borderId="0" xfId="0" applyFont="1" applyFill="1" applyAlignment="1">
      <alignment horizontal="center" vertical="center" wrapText="1"/>
    </xf>
    <xf numFmtId="0" fontId="65" fillId="12" borderId="22" xfId="0" applyFont="1" applyFill="1" applyBorder="1" applyAlignment="1">
      <alignment horizontal="center" vertical="center" wrapText="1"/>
    </xf>
    <xf numFmtId="0" fontId="65" fillId="12" borderId="18" xfId="0" applyFont="1" applyFill="1" applyBorder="1" applyAlignment="1">
      <alignment horizontal="center" vertical="center" wrapText="1"/>
    </xf>
    <xf numFmtId="0" fontId="65" fillId="12" borderId="12" xfId="0" applyFont="1" applyFill="1" applyBorder="1" applyAlignment="1">
      <alignment horizontal="center" vertical="center" wrapText="1"/>
    </xf>
    <xf numFmtId="0" fontId="65" fillId="12" borderId="9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/>
    <xf numFmtId="2" fontId="84" fillId="4" borderId="3" xfId="0" applyNumberFormat="1" applyFont="1" applyFill="1" applyBorder="1" applyAlignment="1">
      <alignment wrapText="1"/>
    </xf>
    <xf numFmtId="0" fontId="83" fillId="4" borderId="3" xfId="0" applyFont="1" applyFill="1" applyBorder="1" applyAlignment="1">
      <alignment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2" fontId="17" fillId="4" borderId="11" xfId="0" applyNumberFormat="1" applyFont="1" applyFill="1" applyBorder="1" applyAlignment="1"/>
    <xf numFmtId="2" fontId="5" fillId="4" borderId="2" xfId="0" applyNumberFormat="1" applyFont="1" applyFill="1" applyBorder="1" applyAlignment="1">
      <alignment wrapText="1"/>
    </xf>
    <xf numFmtId="2" fontId="5" fillId="4" borderId="4" xfId="0" applyNumberFormat="1" applyFont="1" applyFill="1" applyBorder="1" applyAlignment="1">
      <alignment wrapText="1"/>
    </xf>
    <xf numFmtId="0" fontId="18" fillId="4" borderId="2" xfId="0" applyFont="1" applyFill="1" applyBorder="1" applyAlignment="1">
      <alignment wrapText="1"/>
    </xf>
    <xf numFmtId="0" fontId="18" fillId="4" borderId="4" xfId="0" applyFont="1" applyFill="1" applyBorder="1" applyAlignment="1">
      <alignment wrapText="1"/>
    </xf>
    <xf numFmtId="2" fontId="5" fillId="4" borderId="5" xfId="0" applyNumberFormat="1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0" fontId="18" fillId="21" borderId="3" xfId="0" applyFont="1" applyFill="1" applyBorder="1" applyAlignment="1">
      <alignment wrapText="1"/>
    </xf>
    <xf numFmtId="0" fontId="77" fillId="13" borderId="11" xfId="0" applyFont="1" applyFill="1" applyBorder="1" applyAlignment="1">
      <alignment wrapText="1"/>
    </xf>
    <xf numFmtId="0" fontId="78" fillId="13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77" fillId="16" borderId="11" xfId="0" applyFont="1" applyFill="1" applyBorder="1" applyAlignment="1">
      <alignment wrapText="1"/>
    </xf>
    <xf numFmtId="0" fontId="78" fillId="16" borderId="2" xfId="0" applyFont="1" applyFill="1" applyBorder="1" applyAlignment="1">
      <alignment wrapText="1"/>
    </xf>
    <xf numFmtId="2" fontId="5" fillId="4" borderId="7" xfId="0" applyNumberFormat="1" applyFont="1" applyFill="1" applyBorder="1" applyAlignment="1">
      <alignment wrapText="1"/>
    </xf>
    <xf numFmtId="0" fontId="18" fillId="4" borderId="7" xfId="0" applyFont="1" applyFill="1" applyBorder="1" applyAlignment="1">
      <alignment wrapText="1"/>
    </xf>
    <xf numFmtId="2" fontId="5" fillId="7" borderId="18" xfId="0" applyNumberFormat="1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9" xfId="0" applyFont="1" applyFill="1" applyBorder="1" applyAlignment="1">
      <alignment wrapText="1"/>
    </xf>
    <xf numFmtId="0" fontId="18" fillId="4" borderId="3" xfId="0" applyFont="1" applyFill="1" applyBorder="1" applyAlignment="1">
      <alignment wrapText="1"/>
    </xf>
    <xf numFmtId="2" fontId="17" fillId="4" borderId="11" xfId="0" applyNumberFormat="1" applyFont="1" applyFill="1" applyBorder="1" applyAlignment="1">
      <alignment wrapText="1"/>
    </xf>
    <xf numFmtId="0" fontId="39" fillId="4" borderId="2" xfId="0" applyFont="1" applyFill="1" applyBorder="1" applyAlignment="1">
      <alignment wrapText="1"/>
    </xf>
    <xf numFmtId="0" fontId="39" fillId="4" borderId="4" xfId="0" applyFont="1" applyFill="1" applyBorder="1" applyAlignment="1">
      <alignment wrapText="1"/>
    </xf>
    <xf numFmtId="0" fontId="5" fillId="4" borderId="11" xfId="0" applyNumberFormat="1" applyFont="1" applyFill="1" applyBorder="1" applyAlignment="1"/>
    <xf numFmtId="0" fontId="0" fillId="4" borderId="2" xfId="0" applyNumberFormat="1" applyFill="1" applyBorder="1" applyAlignment="1"/>
    <xf numFmtId="0" fontId="0" fillId="4" borderId="4" xfId="0" applyNumberFormat="1" applyFill="1" applyBorder="1" applyAlignment="1"/>
    <xf numFmtId="2" fontId="4" fillId="21" borderId="11" xfId="0" applyNumberFormat="1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0" fontId="18" fillId="21" borderId="3" xfId="0" applyFont="1" applyFill="1" applyBorder="1" applyAlignment="1"/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CCFF99"/>
      <color rgb="FFFFFF99"/>
      <color rgb="FFFFFFCC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5" Type="http://schemas.openxmlformats.org/officeDocument/2006/relationships/image" Target="../media/image5.jpe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hyperlink" Target="http://www.jivi.com.ar/home.asp" TargetMode="External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jpe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745</xdr:row>
      <xdr:rowOff>28575</xdr:rowOff>
    </xdr:from>
    <xdr:to>
      <xdr:col>1</xdr:col>
      <xdr:colOff>295275</xdr:colOff>
      <xdr:row>745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104</xdr:row>
      <xdr:rowOff>19050</xdr:rowOff>
    </xdr:from>
    <xdr:to>
      <xdr:col>0</xdr:col>
      <xdr:colOff>295275</xdr:colOff>
      <xdr:row>104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743</xdr:row>
      <xdr:rowOff>19050</xdr:rowOff>
    </xdr:from>
    <xdr:to>
      <xdr:col>1</xdr:col>
      <xdr:colOff>180975</xdr:colOff>
      <xdr:row>743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120</xdr:row>
      <xdr:rowOff>0</xdr:rowOff>
    </xdr:from>
    <xdr:to>
      <xdr:col>38</xdr:col>
      <xdr:colOff>371475</xdr:colOff>
      <xdr:row>123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63</xdr:row>
      <xdr:rowOff>19050</xdr:rowOff>
    </xdr:from>
    <xdr:to>
      <xdr:col>0</xdr:col>
      <xdr:colOff>295275</xdr:colOff>
      <xdr:row>63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733</xdr:row>
      <xdr:rowOff>76200</xdr:rowOff>
    </xdr:from>
    <xdr:to>
      <xdr:col>8</xdr:col>
      <xdr:colOff>353861</xdr:colOff>
      <xdr:row>739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64</xdr:row>
      <xdr:rowOff>28575</xdr:rowOff>
    </xdr:from>
    <xdr:to>
      <xdr:col>0</xdr:col>
      <xdr:colOff>295275</xdr:colOff>
      <xdr:row>65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747</xdr:row>
      <xdr:rowOff>38100</xdr:rowOff>
    </xdr:from>
    <xdr:to>
      <xdr:col>1</xdr:col>
      <xdr:colOff>295275</xdr:colOff>
      <xdr:row>747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115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746</xdr:row>
      <xdr:rowOff>38100</xdr:rowOff>
    </xdr:from>
    <xdr:to>
      <xdr:col>1</xdr:col>
      <xdr:colOff>295275</xdr:colOff>
      <xdr:row>746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651</xdr:row>
      <xdr:rowOff>19050</xdr:rowOff>
    </xdr:from>
    <xdr:to>
      <xdr:col>1</xdr:col>
      <xdr:colOff>0</xdr:colOff>
      <xdr:row>651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652</xdr:row>
      <xdr:rowOff>19050</xdr:rowOff>
    </xdr:from>
    <xdr:to>
      <xdr:col>1</xdr:col>
      <xdr:colOff>0</xdr:colOff>
      <xdr:row>652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653</xdr:row>
      <xdr:rowOff>19050</xdr:rowOff>
    </xdr:from>
    <xdr:to>
      <xdr:col>1</xdr:col>
      <xdr:colOff>0</xdr:colOff>
      <xdr:row>653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358</xdr:row>
      <xdr:rowOff>28575</xdr:rowOff>
    </xdr:from>
    <xdr:to>
      <xdr:col>1</xdr:col>
      <xdr:colOff>0</xdr:colOff>
      <xdr:row>358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228</xdr:row>
      <xdr:rowOff>28575</xdr:rowOff>
    </xdr:from>
    <xdr:to>
      <xdr:col>1</xdr:col>
      <xdr:colOff>0</xdr:colOff>
      <xdr:row>228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28575</xdr:rowOff>
    </xdr:from>
    <xdr:to>
      <xdr:col>1</xdr:col>
      <xdr:colOff>0</xdr:colOff>
      <xdr:row>96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455</xdr:row>
      <xdr:rowOff>28575</xdr:rowOff>
    </xdr:from>
    <xdr:to>
      <xdr:col>1</xdr:col>
      <xdr:colOff>0</xdr:colOff>
      <xdr:row>455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454</xdr:row>
      <xdr:rowOff>19050</xdr:rowOff>
    </xdr:from>
    <xdr:to>
      <xdr:col>24</xdr:col>
      <xdr:colOff>47625</xdr:colOff>
      <xdr:row>454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451</xdr:row>
      <xdr:rowOff>19050</xdr:rowOff>
    </xdr:from>
    <xdr:to>
      <xdr:col>24</xdr:col>
      <xdr:colOff>47625</xdr:colOff>
      <xdr:row>451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448</xdr:row>
      <xdr:rowOff>19050</xdr:rowOff>
    </xdr:from>
    <xdr:to>
      <xdr:col>24</xdr:col>
      <xdr:colOff>47625</xdr:colOff>
      <xdr:row>448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447</xdr:row>
      <xdr:rowOff>19050</xdr:rowOff>
    </xdr:from>
    <xdr:to>
      <xdr:col>24</xdr:col>
      <xdr:colOff>47625</xdr:colOff>
      <xdr:row>447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419</xdr:row>
      <xdr:rowOff>19050</xdr:rowOff>
    </xdr:from>
    <xdr:to>
      <xdr:col>24</xdr:col>
      <xdr:colOff>47625</xdr:colOff>
      <xdr:row>419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481</xdr:row>
      <xdr:rowOff>19050</xdr:rowOff>
    </xdr:from>
    <xdr:to>
      <xdr:col>24</xdr:col>
      <xdr:colOff>47625</xdr:colOff>
      <xdr:row>481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483</xdr:row>
      <xdr:rowOff>19050</xdr:rowOff>
    </xdr:from>
    <xdr:to>
      <xdr:col>24</xdr:col>
      <xdr:colOff>47625</xdr:colOff>
      <xdr:row>483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484</xdr:row>
      <xdr:rowOff>19050</xdr:rowOff>
    </xdr:from>
    <xdr:to>
      <xdr:col>24</xdr:col>
      <xdr:colOff>47625</xdr:colOff>
      <xdr:row>484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485</xdr:row>
      <xdr:rowOff>19050</xdr:rowOff>
    </xdr:from>
    <xdr:to>
      <xdr:col>24</xdr:col>
      <xdr:colOff>47625</xdr:colOff>
      <xdr:row>485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486</xdr:row>
      <xdr:rowOff>19050</xdr:rowOff>
    </xdr:from>
    <xdr:to>
      <xdr:col>24</xdr:col>
      <xdr:colOff>47625</xdr:colOff>
      <xdr:row>486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482</xdr:row>
      <xdr:rowOff>19050</xdr:rowOff>
    </xdr:from>
    <xdr:to>
      <xdr:col>24</xdr:col>
      <xdr:colOff>47625</xdr:colOff>
      <xdr:row>482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488</xdr:row>
      <xdr:rowOff>19050</xdr:rowOff>
    </xdr:from>
    <xdr:to>
      <xdr:col>24</xdr:col>
      <xdr:colOff>47625</xdr:colOff>
      <xdr:row>488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514</xdr:row>
      <xdr:rowOff>19050</xdr:rowOff>
    </xdr:from>
    <xdr:to>
      <xdr:col>24</xdr:col>
      <xdr:colOff>47625</xdr:colOff>
      <xdr:row>514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629</xdr:row>
      <xdr:rowOff>19050</xdr:rowOff>
    </xdr:from>
    <xdr:to>
      <xdr:col>24</xdr:col>
      <xdr:colOff>47625</xdr:colOff>
      <xdr:row>629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630</xdr:row>
      <xdr:rowOff>19050</xdr:rowOff>
    </xdr:from>
    <xdr:to>
      <xdr:col>24</xdr:col>
      <xdr:colOff>47625</xdr:colOff>
      <xdr:row>630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637</xdr:row>
      <xdr:rowOff>19050</xdr:rowOff>
    </xdr:from>
    <xdr:to>
      <xdr:col>24</xdr:col>
      <xdr:colOff>47625</xdr:colOff>
      <xdr:row>637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638</xdr:row>
      <xdr:rowOff>19050</xdr:rowOff>
    </xdr:from>
    <xdr:to>
      <xdr:col>24</xdr:col>
      <xdr:colOff>47625</xdr:colOff>
      <xdr:row>638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674</xdr:row>
      <xdr:rowOff>19050</xdr:rowOff>
    </xdr:from>
    <xdr:to>
      <xdr:col>24</xdr:col>
      <xdr:colOff>47625</xdr:colOff>
      <xdr:row>674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675</xdr:row>
      <xdr:rowOff>19050</xdr:rowOff>
    </xdr:from>
    <xdr:to>
      <xdr:col>24</xdr:col>
      <xdr:colOff>47625</xdr:colOff>
      <xdr:row>675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676</xdr:row>
      <xdr:rowOff>19050</xdr:rowOff>
    </xdr:from>
    <xdr:to>
      <xdr:col>24</xdr:col>
      <xdr:colOff>47625</xdr:colOff>
      <xdr:row>676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677</xdr:row>
      <xdr:rowOff>19050</xdr:rowOff>
    </xdr:from>
    <xdr:to>
      <xdr:col>24</xdr:col>
      <xdr:colOff>47625</xdr:colOff>
      <xdr:row>677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678</xdr:row>
      <xdr:rowOff>19050</xdr:rowOff>
    </xdr:from>
    <xdr:to>
      <xdr:col>24</xdr:col>
      <xdr:colOff>47625</xdr:colOff>
      <xdr:row>678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679</xdr:row>
      <xdr:rowOff>19050</xdr:rowOff>
    </xdr:from>
    <xdr:to>
      <xdr:col>24</xdr:col>
      <xdr:colOff>47625</xdr:colOff>
      <xdr:row>679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665</xdr:row>
      <xdr:rowOff>19050</xdr:rowOff>
    </xdr:from>
    <xdr:to>
      <xdr:col>24</xdr:col>
      <xdr:colOff>47625</xdr:colOff>
      <xdr:row>665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666</xdr:row>
      <xdr:rowOff>19050</xdr:rowOff>
    </xdr:from>
    <xdr:to>
      <xdr:col>24</xdr:col>
      <xdr:colOff>47625</xdr:colOff>
      <xdr:row>666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667</xdr:row>
      <xdr:rowOff>19050</xdr:rowOff>
    </xdr:from>
    <xdr:to>
      <xdr:col>24</xdr:col>
      <xdr:colOff>47625</xdr:colOff>
      <xdr:row>667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668</xdr:row>
      <xdr:rowOff>19050</xdr:rowOff>
    </xdr:from>
    <xdr:to>
      <xdr:col>24</xdr:col>
      <xdr:colOff>47625</xdr:colOff>
      <xdr:row>668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661</xdr:row>
      <xdr:rowOff>19050</xdr:rowOff>
    </xdr:from>
    <xdr:to>
      <xdr:col>24</xdr:col>
      <xdr:colOff>47625</xdr:colOff>
      <xdr:row>661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660</xdr:row>
      <xdr:rowOff>19050</xdr:rowOff>
    </xdr:from>
    <xdr:to>
      <xdr:col>24</xdr:col>
      <xdr:colOff>47625</xdr:colOff>
      <xdr:row>660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658</xdr:row>
      <xdr:rowOff>19050</xdr:rowOff>
    </xdr:from>
    <xdr:to>
      <xdr:col>24</xdr:col>
      <xdr:colOff>47625</xdr:colOff>
      <xdr:row>658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657</xdr:row>
      <xdr:rowOff>19050</xdr:rowOff>
    </xdr:from>
    <xdr:to>
      <xdr:col>24</xdr:col>
      <xdr:colOff>47625</xdr:colOff>
      <xdr:row>657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656</xdr:row>
      <xdr:rowOff>19050</xdr:rowOff>
    </xdr:from>
    <xdr:to>
      <xdr:col>24</xdr:col>
      <xdr:colOff>47625</xdr:colOff>
      <xdr:row>656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655</xdr:row>
      <xdr:rowOff>19050</xdr:rowOff>
    </xdr:from>
    <xdr:to>
      <xdr:col>24</xdr:col>
      <xdr:colOff>47625</xdr:colOff>
      <xdr:row>655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281</xdr:row>
      <xdr:rowOff>19050</xdr:rowOff>
    </xdr:from>
    <xdr:to>
      <xdr:col>24</xdr:col>
      <xdr:colOff>47625</xdr:colOff>
      <xdr:row>281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283</xdr:row>
      <xdr:rowOff>19050</xdr:rowOff>
    </xdr:from>
    <xdr:to>
      <xdr:col>26</xdr:col>
      <xdr:colOff>9524</xdr:colOff>
      <xdr:row>283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241</xdr:row>
      <xdr:rowOff>19050</xdr:rowOff>
    </xdr:from>
    <xdr:to>
      <xdr:col>24</xdr:col>
      <xdr:colOff>47625</xdr:colOff>
      <xdr:row>241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231</xdr:row>
      <xdr:rowOff>19050</xdr:rowOff>
    </xdr:from>
    <xdr:to>
      <xdr:col>24</xdr:col>
      <xdr:colOff>47625</xdr:colOff>
      <xdr:row>231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230</xdr:row>
      <xdr:rowOff>19050</xdr:rowOff>
    </xdr:from>
    <xdr:to>
      <xdr:col>24</xdr:col>
      <xdr:colOff>47625</xdr:colOff>
      <xdr:row>230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228</xdr:row>
      <xdr:rowOff>19050</xdr:rowOff>
    </xdr:from>
    <xdr:to>
      <xdr:col>24</xdr:col>
      <xdr:colOff>47625</xdr:colOff>
      <xdr:row>228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188</xdr:row>
      <xdr:rowOff>19050</xdr:rowOff>
    </xdr:from>
    <xdr:to>
      <xdr:col>26</xdr:col>
      <xdr:colOff>9524</xdr:colOff>
      <xdr:row>188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181</xdr:row>
      <xdr:rowOff>19050</xdr:rowOff>
    </xdr:from>
    <xdr:to>
      <xdr:col>24</xdr:col>
      <xdr:colOff>47625</xdr:colOff>
      <xdr:row>181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26</xdr:col>
      <xdr:colOff>9524</xdr:colOff>
      <xdr:row>153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154</xdr:row>
      <xdr:rowOff>19050</xdr:rowOff>
    </xdr:from>
    <xdr:to>
      <xdr:col>26</xdr:col>
      <xdr:colOff>9524</xdr:colOff>
      <xdr:row>154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151</xdr:row>
      <xdr:rowOff>19050</xdr:rowOff>
    </xdr:from>
    <xdr:to>
      <xdr:col>9</xdr:col>
      <xdr:colOff>9526</xdr:colOff>
      <xdr:row>151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152</xdr:row>
      <xdr:rowOff>19050</xdr:rowOff>
    </xdr:from>
    <xdr:to>
      <xdr:col>9</xdr:col>
      <xdr:colOff>9526</xdr:colOff>
      <xdr:row>152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154</xdr:row>
      <xdr:rowOff>19050</xdr:rowOff>
    </xdr:from>
    <xdr:to>
      <xdr:col>9</xdr:col>
      <xdr:colOff>9526</xdr:colOff>
      <xdr:row>154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142</xdr:row>
      <xdr:rowOff>19050</xdr:rowOff>
    </xdr:from>
    <xdr:to>
      <xdr:col>26</xdr:col>
      <xdr:colOff>9524</xdr:colOff>
      <xdr:row>142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142</xdr:row>
      <xdr:rowOff>19050</xdr:rowOff>
    </xdr:from>
    <xdr:to>
      <xdr:col>26</xdr:col>
      <xdr:colOff>447675</xdr:colOff>
      <xdr:row>142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145</xdr:row>
      <xdr:rowOff>19050</xdr:rowOff>
    </xdr:from>
    <xdr:to>
      <xdr:col>26</xdr:col>
      <xdr:colOff>447675</xdr:colOff>
      <xdr:row>145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144</xdr:row>
      <xdr:rowOff>19050</xdr:rowOff>
    </xdr:from>
    <xdr:to>
      <xdr:col>26</xdr:col>
      <xdr:colOff>9524</xdr:colOff>
      <xdr:row>144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144</xdr:row>
      <xdr:rowOff>19050</xdr:rowOff>
    </xdr:from>
    <xdr:to>
      <xdr:col>26</xdr:col>
      <xdr:colOff>447675</xdr:colOff>
      <xdr:row>144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145</xdr:row>
      <xdr:rowOff>19050</xdr:rowOff>
    </xdr:from>
    <xdr:to>
      <xdr:col>26</xdr:col>
      <xdr:colOff>9524</xdr:colOff>
      <xdr:row>145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146</xdr:row>
      <xdr:rowOff>19050</xdr:rowOff>
    </xdr:from>
    <xdr:to>
      <xdr:col>26</xdr:col>
      <xdr:colOff>9524</xdr:colOff>
      <xdr:row>146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146</xdr:row>
      <xdr:rowOff>19050</xdr:rowOff>
    </xdr:from>
    <xdr:to>
      <xdr:col>26</xdr:col>
      <xdr:colOff>447675</xdr:colOff>
      <xdr:row>146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105</xdr:row>
      <xdr:rowOff>19050</xdr:rowOff>
    </xdr:from>
    <xdr:to>
      <xdr:col>25</xdr:col>
      <xdr:colOff>380999</xdr:colOff>
      <xdr:row>105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107</xdr:row>
      <xdr:rowOff>19050</xdr:rowOff>
    </xdr:from>
    <xdr:to>
      <xdr:col>25</xdr:col>
      <xdr:colOff>380999</xdr:colOff>
      <xdr:row>107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120</xdr:row>
      <xdr:rowOff>19050</xdr:rowOff>
    </xdr:from>
    <xdr:to>
      <xdr:col>26</xdr:col>
      <xdr:colOff>9524</xdr:colOff>
      <xdr:row>120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121</xdr:row>
      <xdr:rowOff>19050</xdr:rowOff>
    </xdr:from>
    <xdr:to>
      <xdr:col>26</xdr:col>
      <xdr:colOff>9524</xdr:colOff>
      <xdr:row>121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122</xdr:row>
      <xdr:rowOff>19050</xdr:rowOff>
    </xdr:from>
    <xdr:to>
      <xdr:col>26</xdr:col>
      <xdr:colOff>9524</xdr:colOff>
      <xdr:row>122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</xdr:row>
      <xdr:rowOff>19050</xdr:rowOff>
    </xdr:from>
    <xdr:to>
      <xdr:col>24</xdr:col>
      <xdr:colOff>47625</xdr:colOff>
      <xdr:row>63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101</xdr:row>
      <xdr:rowOff>19050</xdr:rowOff>
    </xdr:from>
    <xdr:to>
      <xdr:col>26</xdr:col>
      <xdr:colOff>9524</xdr:colOff>
      <xdr:row>101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68</xdr:row>
      <xdr:rowOff>19050</xdr:rowOff>
    </xdr:from>
    <xdr:to>
      <xdr:col>25</xdr:col>
      <xdr:colOff>323849</xdr:colOff>
      <xdr:row>68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69</xdr:row>
      <xdr:rowOff>19050</xdr:rowOff>
    </xdr:from>
    <xdr:to>
      <xdr:col>24</xdr:col>
      <xdr:colOff>114300</xdr:colOff>
      <xdr:row>69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69</xdr:row>
      <xdr:rowOff>19050</xdr:rowOff>
    </xdr:from>
    <xdr:to>
      <xdr:col>5</xdr:col>
      <xdr:colOff>194</xdr:colOff>
      <xdr:row>69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68</xdr:row>
      <xdr:rowOff>19049</xdr:rowOff>
    </xdr:from>
    <xdr:to>
      <xdr:col>24</xdr:col>
      <xdr:colOff>466725</xdr:colOff>
      <xdr:row>68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72</xdr:row>
      <xdr:rowOff>95250</xdr:rowOff>
    </xdr:from>
    <xdr:to>
      <xdr:col>24</xdr:col>
      <xdr:colOff>123825</xdr:colOff>
      <xdr:row>73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72</xdr:row>
      <xdr:rowOff>95250</xdr:rowOff>
    </xdr:from>
    <xdr:to>
      <xdr:col>24</xdr:col>
      <xdr:colOff>466725</xdr:colOff>
      <xdr:row>73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72</xdr:row>
      <xdr:rowOff>95250</xdr:rowOff>
    </xdr:from>
    <xdr:to>
      <xdr:col>25</xdr:col>
      <xdr:colOff>333374</xdr:colOff>
      <xdr:row>73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</xdr:row>
      <xdr:rowOff>95250</xdr:rowOff>
    </xdr:from>
    <xdr:to>
      <xdr:col>23</xdr:col>
      <xdr:colOff>542925</xdr:colOff>
      <xdr:row>73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69</xdr:row>
      <xdr:rowOff>19050</xdr:rowOff>
    </xdr:from>
    <xdr:to>
      <xdr:col>23</xdr:col>
      <xdr:colOff>552450</xdr:colOff>
      <xdr:row>69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</xdr:row>
      <xdr:rowOff>19050</xdr:rowOff>
    </xdr:from>
    <xdr:to>
      <xdr:col>10</xdr:col>
      <xdr:colOff>930</xdr:colOff>
      <xdr:row>71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471</xdr:row>
      <xdr:rowOff>19050</xdr:rowOff>
    </xdr:from>
    <xdr:to>
      <xdr:col>24</xdr:col>
      <xdr:colOff>47625</xdr:colOff>
      <xdr:row>471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472</xdr:row>
      <xdr:rowOff>19050</xdr:rowOff>
    </xdr:from>
    <xdr:to>
      <xdr:col>24</xdr:col>
      <xdr:colOff>47625</xdr:colOff>
      <xdr:row>472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125</xdr:row>
      <xdr:rowOff>19050</xdr:rowOff>
    </xdr:from>
    <xdr:to>
      <xdr:col>24</xdr:col>
      <xdr:colOff>47625</xdr:colOff>
      <xdr:row>125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470</xdr:row>
      <xdr:rowOff>19050</xdr:rowOff>
    </xdr:from>
    <xdr:to>
      <xdr:col>24</xdr:col>
      <xdr:colOff>47625</xdr:colOff>
      <xdr:row>470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632</xdr:row>
      <xdr:rowOff>19050</xdr:rowOff>
    </xdr:from>
    <xdr:to>
      <xdr:col>24</xdr:col>
      <xdr:colOff>47625</xdr:colOff>
      <xdr:row>632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326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</xdr:row>
      <xdr:rowOff>19050</xdr:rowOff>
    </xdr:from>
    <xdr:to>
      <xdr:col>24</xdr:col>
      <xdr:colOff>47625</xdr:colOff>
      <xdr:row>28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662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445</xdr:row>
      <xdr:rowOff>19050</xdr:rowOff>
    </xdr:from>
    <xdr:to>
      <xdr:col>24</xdr:col>
      <xdr:colOff>47625</xdr:colOff>
      <xdr:row>445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633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634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659</xdr:row>
      <xdr:rowOff>19050</xdr:rowOff>
    </xdr:from>
    <xdr:to>
      <xdr:col>24</xdr:col>
      <xdr:colOff>47625</xdr:colOff>
      <xdr:row>659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487</xdr:row>
      <xdr:rowOff>19050</xdr:rowOff>
    </xdr:from>
    <xdr:to>
      <xdr:col>24</xdr:col>
      <xdr:colOff>47625</xdr:colOff>
      <xdr:row>487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362</xdr:row>
      <xdr:rowOff>28575</xdr:rowOff>
    </xdr:from>
    <xdr:to>
      <xdr:col>1</xdr:col>
      <xdr:colOff>0</xdr:colOff>
      <xdr:row>362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490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626</xdr:row>
      <xdr:rowOff>19050</xdr:rowOff>
    </xdr:from>
    <xdr:to>
      <xdr:col>24</xdr:col>
      <xdr:colOff>47625</xdr:colOff>
      <xdr:row>626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627</xdr:row>
      <xdr:rowOff>19050</xdr:rowOff>
    </xdr:from>
    <xdr:to>
      <xdr:col>24</xdr:col>
      <xdr:colOff>47625</xdr:colOff>
      <xdr:row>627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28575</xdr:rowOff>
    </xdr:from>
    <xdr:to>
      <xdr:col>1</xdr:col>
      <xdr:colOff>0</xdr:colOff>
      <xdr:row>57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232</xdr:row>
      <xdr:rowOff>19050</xdr:rowOff>
    </xdr:from>
    <xdr:to>
      <xdr:col>24</xdr:col>
      <xdr:colOff>47625</xdr:colOff>
      <xdr:row>232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232</xdr:row>
      <xdr:rowOff>19050</xdr:rowOff>
    </xdr:from>
    <xdr:to>
      <xdr:col>26</xdr:col>
      <xdr:colOff>9524</xdr:colOff>
      <xdr:row>232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322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548</xdr:row>
      <xdr:rowOff>19050</xdr:rowOff>
    </xdr:from>
    <xdr:to>
      <xdr:col>24</xdr:col>
      <xdr:colOff>48389</xdr:colOff>
      <xdr:row>548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542</xdr:row>
      <xdr:rowOff>19050</xdr:rowOff>
    </xdr:from>
    <xdr:to>
      <xdr:col>24</xdr:col>
      <xdr:colOff>48389</xdr:colOff>
      <xdr:row>542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540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551</xdr:row>
      <xdr:rowOff>19050</xdr:rowOff>
    </xdr:from>
    <xdr:to>
      <xdr:col>24</xdr:col>
      <xdr:colOff>47625</xdr:colOff>
      <xdr:row>551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299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275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323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307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635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137</xdr:row>
      <xdr:rowOff>19050</xdr:rowOff>
    </xdr:from>
    <xdr:to>
      <xdr:col>10</xdr:col>
      <xdr:colOff>1</xdr:colOff>
      <xdr:row>137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138</xdr:row>
      <xdr:rowOff>19050</xdr:rowOff>
    </xdr:from>
    <xdr:to>
      <xdr:col>10</xdr:col>
      <xdr:colOff>1</xdr:colOff>
      <xdr:row>138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139</xdr:row>
      <xdr:rowOff>19050</xdr:rowOff>
    </xdr:from>
    <xdr:to>
      <xdr:col>10</xdr:col>
      <xdr:colOff>1</xdr:colOff>
      <xdr:row>139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651</xdr:row>
      <xdr:rowOff>19050</xdr:rowOff>
    </xdr:from>
    <xdr:to>
      <xdr:col>10</xdr:col>
      <xdr:colOff>1</xdr:colOff>
      <xdr:row>651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592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652</xdr:row>
      <xdr:rowOff>19050</xdr:rowOff>
    </xdr:from>
    <xdr:to>
      <xdr:col>10</xdr:col>
      <xdr:colOff>1</xdr:colOff>
      <xdr:row>652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653</xdr:row>
      <xdr:rowOff>19050</xdr:rowOff>
    </xdr:from>
    <xdr:to>
      <xdr:col>10</xdr:col>
      <xdr:colOff>1</xdr:colOff>
      <xdr:row>653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646</xdr:row>
      <xdr:rowOff>19050</xdr:rowOff>
    </xdr:from>
    <xdr:to>
      <xdr:col>10</xdr:col>
      <xdr:colOff>1</xdr:colOff>
      <xdr:row>646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211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628</xdr:row>
      <xdr:rowOff>19050</xdr:rowOff>
    </xdr:from>
    <xdr:to>
      <xdr:col>24</xdr:col>
      <xdr:colOff>47625</xdr:colOff>
      <xdr:row>628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636</xdr:row>
      <xdr:rowOff>19050</xdr:rowOff>
    </xdr:from>
    <xdr:to>
      <xdr:col>10</xdr:col>
      <xdr:colOff>1</xdr:colOff>
      <xdr:row>636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637</xdr:row>
      <xdr:rowOff>19050</xdr:rowOff>
    </xdr:from>
    <xdr:to>
      <xdr:col>10</xdr:col>
      <xdr:colOff>1</xdr:colOff>
      <xdr:row>637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638</xdr:row>
      <xdr:rowOff>19050</xdr:rowOff>
    </xdr:from>
    <xdr:to>
      <xdr:col>10</xdr:col>
      <xdr:colOff>1</xdr:colOff>
      <xdr:row>638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689</xdr:row>
      <xdr:rowOff>19050</xdr:rowOff>
    </xdr:from>
    <xdr:to>
      <xdr:col>10</xdr:col>
      <xdr:colOff>1</xdr:colOff>
      <xdr:row>689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296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69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68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68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68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68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219</xdr:row>
      <xdr:rowOff>28575</xdr:rowOff>
    </xdr:from>
    <xdr:to>
      <xdr:col>1</xdr:col>
      <xdr:colOff>0</xdr:colOff>
      <xdr:row>219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218</xdr:row>
      <xdr:rowOff>19050</xdr:rowOff>
    </xdr:from>
    <xdr:to>
      <xdr:col>10</xdr:col>
      <xdr:colOff>1</xdr:colOff>
      <xdr:row>218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216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282</xdr:row>
      <xdr:rowOff>19050</xdr:rowOff>
    </xdr:from>
    <xdr:to>
      <xdr:col>24</xdr:col>
      <xdr:colOff>47625</xdr:colOff>
      <xdr:row>282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132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444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645</xdr:row>
      <xdr:rowOff>19050</xdr:rowOff>
    </xdr:from>
    <xdr:to>
      <xdr:col>10</xdr:col>
      <xdr:colOff>1</xdr:colOff>
      <xdr:row>645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221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550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47624</xdr:colOff>
      <xdr:row>67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225</xdr:row>
      <xdr:rowOff>19050</xdr:rowOff>
    </xdr:from>
    <xdr:to>
      <xdr:col>24</xdr:col>
      <xdr:colOff>47624</xdr:colOff>
      <xdr:row>225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296</xdr:row>
      <xdr:rowOff>19050</xdr:rowOff>
    </xdr:from>
    <xdr:to>
      <xdr:col>25</xdr:col>
      <xdr:colOff>83819</xdr:colOff>
      <xdr:row>296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297</xdr:row>
      <xdr:rowOff>19050</xdr:rowOff>
    </xdr:from>
    <xdr:to>
      <xdr:col>25</xdr:col>
      <xdr:colOff>83819</xdr:colOff>
      <xdr:row>297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298</xdr:row>
      <xdr:rowOff>19050</xdr:rowOff>
    </xdr:from>
    <xdr:to>
      <xdr:col>25</xdr:col>
      <xdr:colOff>83819</xdr:colOff>
      <xdr:row>298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299</xdr:row>
      <xdr:rowOff>19050</xdr:rowOff>
    </xdr:from>
    <xdr:to>
      <xdr:col>25</xdr:col>
      <xdr:colOff>83819</xdr:colOff>
      <xdr:row>299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307</xdr:row>
      <xdr:rowOff>19050</xdr:rowOff>
    </xdr:from>
    <xdr:to>
      <xdr:col>25</xdr:col>
      <xdr:colOff>83819</xdr:colOff>
      <xdr:row>307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314</xdr:row>
      <xdr:rowOff>19050</xdr:rowOff>
    </xdr:from>
    <xdr:to>
      <xdr:col>25</xdr:col>
      <xdr:colOff>83819</xdr:colOff>
      <xdr:row>314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321</xdr:row>
      <xdr:rowOff>19050</xdr:rowOff>
    </xdr:from>
    <xdr:to>
      <xdr:col>25</xdr:col>
      <xdr:colOff>83819</xdr:colOff>
      <xdr:row>321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322</xdr:row>
      <xdr:rowOff>19050</xdr:rowOff>
    </xdr:from>
    <xdr:to>
      <xdr:col>25</xdr:col>
      <xdr:colOff>83819</xdr:colOff>
      <xdr:row>322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323</xdr:row>
      <xdr:rowOff>19050</xdr:rowOff>
    </xdr:from>
    <xdr:to>
      <xdr:col>25</xdr:col>
      <xdr:colOff>83819</xdr:colOff>
      <xdr:row>323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680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681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268</xdr:row>
      <xdr:rowOff>19050</xdr:rowOff>
    </xdr:from>
    <xdr:to>
      <xdr:col>24</xdr:col>
      <xdr:colOff>47624</xdr:colOff>
      <xdr:row>268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276</xdr:row>
      <xdr:rowOff>19050</xdr:rowOff>
    </xdr:from>
    <xdr:to>
      <xdr:col>24</xdr:col>
      <xdr:colOff>47625</xdr:colOff>
      <xdr:row>276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275</xdr:row>
      <xdr:rowOff>19050</xdr:rowOff>
    </xdr:from>
    <xdr:to>
      <xdr:col>26</xdr:col>
      <xdr:colOff>9524</xdr:colOff>
      <xdr:row>275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282</xdr:row>
      <xdr:rowOff>19050</xdr:rowOff>
    </xdr:from>
    <xdr:to>
      <xdr:col>26</xdr:col>
      <xdr:colOff>9524</xdr:colOff>
      <xdr:row>282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153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150</xdr:row>
      <xdr:rowOff>19050</xdr:rowOff>
    </xdr:from>
    <xdr:to>
      <xdr:col>9</xdr:col>
      <xdr:colOff>9526</xdr:colOff>
      <xdr:row>150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408</xdr:row>
      <xdr:rowOff>19050</xdr:rowOff>
    </xdr:from>
    <xdr:to>
      <xdr:col>24</xdr:col>
      <xdr:colOff>47625</xdr:colOff>
      <xdr:row>408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404</xdr:row>
      <xdr:rowOff>19050</xdr:rowOff>
    </xdr:from>
    <xdr:to>
      <xdr:col>24</xdr:col>
      <xdr:colOff>47625</xdr:colOff>
      <xdr:row>404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366</xdr:row>
      <xdr:rowOff>19050</xdr:rowOff>
    </xdr:from>
    <xdr:to>
      <xdr:col>26</xdr:col>
      <xdr:colOff>9524</xdr:colOff>
      <xdr:row>366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18</xdr:row>
      <xdr:rowOff>19050</xdr:rowOff>
    </xdr:from>
    <xdr:to>
      <xdr:col>9</xdr:col>
      <xdr:colOff>12838</xdr:colOff>
      <xdr:row>18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143</xdr:row>
      <xdr:rowOff>19050</xdr:rowOff>
    </xdr:from>
    <xdr:to>
      <xdr:col>26</xdr:col>
      <xdr:colOff>9524</xdr:colOff>
      <xdr:row>143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143</xdr:row>
      <xdr:rowOff>19050</xdr:rowOff>
    </xdr:from>
    <xdr:to>
      <xdr:col>26</xdr:col>
      <xdr:colOff>447675</xdr:colOff>
      <xdr:row>143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147</xdr:row>
      <xdr:rowOff>19050</xdr:rowOff>
    </xdr:from>
    <xdr:to>
      <xdr:col>26</xdr:col>
      <xdr:colOff>447675</xdr:colOff>
      <xdr:row>147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631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052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242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409</xdr:row>
      <xdr:rowOff>19050</xdr:rowOff>
    </xdr:from>
    <xdr:to>
      <xdr:col>24</xdr:col>
      <xdr:colOff>47625</xdr:colOff>
      <xdr:row>409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184</xdr:row>
      <xdr:rowOff>19050</xdr:rowOff>
    </xdr:from>
    <xdr:to>
      <xdr:col>24</xdr:col>
      <xdr:colOff>47625</xdr:colOff>
      <xdr:row>184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449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227</xdr:row>
      <xdr:rowOff>28575</xdr:rowOff>
    </xdr:from>
    <xdr:to>
      <xdr:col>1</xdr:col>
      <xdr:colOff>0</xdr:colOff>
      <xdr:row>227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</xdr:row>
      <xdr:rowOff>19050</xdr:rowOff>
    </xdr:from>
    <xdr:to>
      <xdr:col>10</xdr:col>
      <xdr:colOff>930</xdr:colOff>
      <xdr:row>65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405</xdr:row>
      <xdr:rowOff>19050</xdr:rowOff>
    </xdr:from>
    <xdr:to>
      <xdr:col>24</xdr:col>
      <xdr:colOff>47625</xdr:colOff>
      <xdr:row>405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663</xdr:row>
      <xdr:rowOff>19050</xdr:rowOff>
    </xdr:from>
    <xdr:to>
      <xdr:col>10</xdr:col>
      <xdr:colOff>1</xdr:colOff>
      <xdr:row>663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664</xdr:row>
      <xdr:rowOff>19050</xdr:rowOff>
    </xdr:from>
    <xdr:to>
      <xdr:col>10</xdr:col>
      <xdr:colOff>1</xdr:colOff>
      <xdr:row>664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665</xdr:row>
      <xdr:rowOff>19050</xdr:rowOff>
    </xdr:from>
    <xdr:to>
      <xdr:col>10</xdr:col>
      <xdr:colOff>1</xdr:colOff>
      <xdr:row>665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666</xdr:row>
      <xdr:rowOff>19050</xdr:rowOff>
    </xdr:from>
    <xdr:to>
      <xdr:col>10</xdr:col>
      <xdr:colOff>1</xdr:colOff>
      <xdr:row>666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667</xdr:row>
      <xdr:rowOff>19050</xdr:rowOff>
    </xdr:from>
    <xdr:to>
      <xdr:col>10</xdr:col>
      <xdr:colOff>1</xdr:colOff>
      <xdr:row>667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668</xdr:row>
      <xdr:rowOff>19050</xdr:rowOff>
    </xdr:from>
    <xdr:to>
      <xdr:col>10</xdr:col>
      <xdr:colOff>1</xdr:colOff>
      <xdr:row>668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1260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329</xdr:row>
      <xdr:rowOff>19050</xdr:rowOff>
    </xdr:from>
    <xdr:to>
      <xdr:col>24</xdr:col>
      <xdr:colOff>47625</xdr:colOff>
      <xdr:row>329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303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303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305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324</xdr:row>
      <xdr:rowOff>19050</xdr:rowOff>
    </xdr:from>
    <xdr:to>
      <xdr:col>25</xdr:col>
      <xdr:colOff>74294</xdr:colOff>
      <xdr:row>324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293</xdr:row>
      <xdr:rowOff>19050</xdr:rowOff>
    </xdr:from>
    <xdr:to>
      <xdr:col>25</xdr:col>
      <xdr:colOff>83819</xdr:colOff>
      <xdr:row>293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411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294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573</xdr:row>
      <xdr:rowOff>19050</xdr:rowOff>
    </xdr:from>
    <xdr:to>
      <xdr:col>24</xdr:col>
      <xdr:colOff>75821</xdr:colOff>
      <xdr:row>573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578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589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590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597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598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606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600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607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605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501</xdr:row>
      <xdr:rowOff>19050</xdr:rowOff>
    </xdr:from>
    <xdr:to>
      <xdr:col>24</xdr:col>
      <xdr:colOff>75821</xdr:colOff>
      <xdr:row>501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516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502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503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504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499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500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505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506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509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510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495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497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498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596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190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191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194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194</xdr:row>
      <xdr:rowOff>19050</xdr:rowOff>
    </xdr:from>
    <xdr:to>
      <xdr:col>26</xdr:col>
      <xdr:colOff>9524</xdr:colOff>
      <xdr:row>194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192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193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284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284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434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423</xdr:row>
      <xdr:rowOff>19050</xdr:rowOff>
    </xdr:from>
    <xdr:to>
      <xdr:col>24</xdr:col>
      <xdr:colOff>47625</xdr:colOff>
      <xdr:row>423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549</xdr:row>
      <xdr:rowOff>19050</xdr:rowOff>
    </xdr:from>
    <xdr:to>
      <xdr:col>24</xdr:col>
      <xdr:colOff>47625</xdr:colOff>
      <xdr:row>549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546</xdr:row>
      <xdr:rowOff>19050</xdr:rowOff>
    </xdr:from>
    <xdr:to>
      <xdr:col>24</xdr:col>
      <xdr:colOff>47625</xdr:colOff>
      <xdr:row>546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541</xdr:row>
      <xdr:rowOff>19050</xdr:rowOff>
    </xdr:from>
    <xdr:to>
      <xdr:col>24</xdr:col>
      <xdr:colOff>47625</xdr:colOff>
      <xdr:row>541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532</xdr:row>
      <xdr:rowOff>19050</xdr:rowOff>
    </xdr:from>
    <xdr:to>
      <xdr:col>24</xdr:col>
      <xdr:colOff>47625</xdr:colOff>
      <xdr:row>532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530</xdr:row>
      <xdr:rowOff>19050</xdr:rowOff>
    </xdr:from>
    <xdr:to>
      <xdr:col>24</xdr:col>
      <xdr:colOff>47625</xdr:colOff>
      <xdr:row>530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310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310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441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180</xdr:row>
      <xdr:rowOff>19050</xdr:rowOff>
    </xdr:from>
    <xdr:to>
      <xdr:col>24</xdr:col>
      <xdr:colOff>47625</xdr:colOff>
      <xdr:row>180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183</xdr:row>
      <xdr:rowOff>19050</xdr:rowOff>
    </xdr:from>
    <xdr:to>
      <xdr:col>24</xdr:col>
      <xdr:colOff>47625</xdr:colOff>
      <xdr:row>183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182</xdr:row>
      <xdr:rowOff>19050</xdr:rowOff>
    </xdr:from>
    <xdr:to>
      <xdr:col>24</xdr:col>
      <xdr:colOff>47625</xdr:colOff>
      <xdr:row>182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492</xdr:row>
      <xdr:rowOff>19050</xdr:rowOff>
    </xdr:from>
    <xdr:to>
      <xdr:col>11</xdr:col>
      <xdr:colOff>9525</xdr:colOff>
      <xdr:row>492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656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493</xdr:row>
      <xdr:rowOff>19050</xdr:rowOff>
    </xdr:from>
    <xdr:to>
      <xdr:col>11</xdr:col>
      <xdr:colOff>9525</xdr:colOff>
      <xdr:row>493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809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494</xdr:row>
      <xdr:rowOff>19050</xdr:rowOff>
    </xdr:from>
    <xdr:to>
      <xdr:col>11</xdr:col>
      <xdr:colOff>9525</xdr:colOff>
      <xdr:row>494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961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495</xdr:row>
      <xdr:rowOff>19050</xdr:rowOff>
    </xdr:from>
    <xdr:to>
      <xdr:col>11</xdr:col>
      <xdr:colOff>9525</xdr:colOff>
      <xdr:row>495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114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497</xdr:row>
      <xdr:rowOff>19050</xdr:rowOff>
    </xdr:from>
    <xdr:to>
      <xdr:col>11</xdr:col>
      <xdr:colOff>9525</xdr:colOff>
      <xdr:row>497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41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498</xdr:row>
      <xdr:rowOff>19050</xdr:rowOff>
    </xdr:from>
    <xdr:to>
      <xdr:col>11</xdr:col>
      <xdr:colOff>9525</xdr:colOff>
      <xdr:row>498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57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279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279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585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586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208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515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615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616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529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76200</xdr:rowOff>
    </xdr:from>
    <xdr:to>
      <xdr:col>14</xdr:col>
      <xdr:colOff>172693</xdr:colOff>
      <xdr:row>495</xdr:row>
      <xdr:rowOff>9525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544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545</xdr:row>
      <xdr:rowOff>19050</xdr:rowOff>
    </xdr:from>
    <xdr:to>
      <xdr:col>24</xdr:col>
      <xdr:colOff>48389</xdr:colOff>
      <xdr:row>545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414</xdr:row>
      <xdr:rowOff>19050</xdr:rowOff>
    </xdr:from>
    <xdr:to>
      <xdr:col>24</xdr:col>
      <xdr:colOff>47625</xdr:colOff>
      <xdr:row>414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380</xdr:row>
      <xdr:rowOff>19050</xdr:rowOff>
    </xdr:from>
    <xdr:to>
      <xdr:col>24</xdr:col>
      <xdr:colOff>47625</xdr:colOff>
      <xdr:row>380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412</xdr:row>
      <xdr:rowOff>19050</xdr:rowOff>
    </xdr:from>
    <xdr:to>
      <xdr:col>24</xdr:col>
      <xdr:colOff>47625</xdr:colOff>
      <xdr:row>412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406</xdr:row>
      <xdr:rowOff>16566</xdr:rowOff>
    </xdr:from>
    <xdr:to>
      <xdr:col>24</xdr:col>
      <xdr:colOff>46383</xdr:colOff>
      <xdr:row>406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19050</xdr:rowOff>
    </xdr:from>
    <xdr:to>
      <xdr:col>10</xdr:col>
      <xdr:colOff>2173</xdr:colOff>
      <xdr:row>91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5231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134</xdr:row>
      <xdr:rowOff>19050</xdr:rowOff>
    </xdr:from>
    <xdr:to>
      <xdr:col>10</xdr:col>
      <xdr:colOff>1</xdr:colOff>
      <xdr:row>134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135</xdr:row>
      <xdr:rowOff>19050</xdr:rowOff>
    </xdr:from>
    <xdr:to>
      <xdr:col>10</xdr:col>
      <xdr:colOff>1</xdr:colOff>
      <xdr:row>135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136</xdr:row>
      <xdr:rowOff>19050</xdr:rowOff>
    </xdr:from>
    <xdr:to>
      <xdr:col>10</xdr:col>
      <xdr:colOff>1</xdr:colOff>
      <xdr:row>136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373</xdr:row>
      <xdr:rowOff>16566</xdr:rowOff>
    </xdr:from>
    <xdr:to>
      <xdr:col>24</xdr:col>
      <xdr:colOff>46383</xdr:colOff>
      <xdr:row>373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291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291</xdr:row>
      <xdr:rowOff>16566</xdr:rowOff>
    </xdr:from>
    <xdr:to>
      <xdr:col>25</xdr:col>
      <xdr:colOff>82577</xdr:colOff>
      <xdr:row>291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722</xdr:row>
      <xdr:rowOff>19050</xdr:rowOff>
    </xdr:from>
    <xdr:to>
      <xdr:col>13</xdr:col>
      <xdr:colOff>1</xdr:colOff>
      <xdr:row>722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723</xdr:row>
      <xdr:rowOff>19050</xdr:rowOff>
    </xdr:from>
    <xdr:to>
      <xdr:col>13</xdr:col>
      <xdr:colOff>1</xdr:colOff>
      <xdr:row>723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724</xdr:row>
      <xdr:rowOff>19050</xdr:rowOff>
    </xdr:from>
    <xdr:to>
      <xdr:col>13</xdr:col>
      <xdr:colOff>1</xdr:colOff>
      <xdr:row>724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384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459</xdr:row>
      <xdr:rowOff>19050</xdr:rowOff>
    </xdr:from>
    <xdr:to>
      <xdr:col>24</xdr:col>
      <xdr:colOff>47625</xdr:colOff>
      <xdr:row>459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460</xdr:row>
      <xdr:rowOff>19050</xdr:rowOff>
    </xdr:from>
    <xdr:to>
      <xdr:col>24</xdr:col>
      <xdr:colOff>47625</xdr:colOff>
      <xdr:row>460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99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612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383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527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24</xdr:row>
      <xdr:rowOff>19050</xdr:rowOff>
    </xdr:from>
    <xdr:to>
      <xdr:col>9</xdr:col>
      <xdr:colOff>12838</xdr:colOff>
      <xdr:row>24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9624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539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538</xdr:row>
      <xdr:rowOff>19050</xdr:rowOff>
    </xdr:from>
    <xdr:to>
      <xdr:col>24</xdr:col>
      <xdr:colOff>47625</xdr:colOff>
      <xdr:row>538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446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435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413</xdr:row>
      <xdr:rowOff>28575</xdr:rowOff>
    </xdr:from>
    <xdr:to>
      <xdr:col>1</xdr:col>
      <xdr:colOff>0</xdr:colOff>
      <xdr:row>413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293</xdr:row>
      <xdr:rowOff>19050</xdr:rowOff>
    </xdr:from>
    <xdr:to>
      <xdr:col>24</xdr:col>
      <xdr:colOff>47624</xdr:colOff>
      <xdr:row>293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294</xdr:row>
      <xdr:rowOff>19050</xdr:rowOff>
    </xdr:from>
    <xdr:to>
      <xdr:col>24</xdr:col>
      <xdr:colOff>47624</xdr:colOff>
      <xdr:row>294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314</xdr:row>
      <xdr:rowOff>19050</xdr:rowOff>
    </xdr:from>
    <xdr:to>
      <xdr:col>24</xdr:col>
      <xdr:colOff>47624</xdr:colOff>
      <xdr:row>314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297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587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588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517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407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359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429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428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432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431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360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361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617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526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410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524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653</xdr:row>
      <xdr:rowOff>19050</xdr:rowOff>
    </xdr:from>
    <xdr:to>
      <xdr:col>24</xdr:col>
      <xdr:colOff>49180</xdr:colOff>
      <xdr:row>653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652</xdr:row>
      <xdr:rowOff>19050</xdr:rowOff>
    </xdr:from>
    <xdr:to>
      <xdr:col>24</xdr:col>
      <xdr:colOff>49180</xdr:colOff>
      <xdr:row>652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651</xdr:row>
      <xdr:rowOff>19050</xdr:rowOff>
    </xdr:from>
    <xdr:to>
      <xdr:col>24</xdr:col>
      <xdr:colOff>49180</xdr:colOff>
      <xdr:row>651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647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649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6689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685</xdr:row>
      <xdr:rowOff>19050</xdr:rowOff>
    </xdr:from>
    <xdr:to>
      <xdr:col>24</xdr:col>
      <xdr:colOff>47625</xdr:colOff>
      <xdr:row>685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689</xdr:row>
      <xdr:rowOff>19050</xdr:rowOff>
    </xdr:from>
    <xdr:to>
      <xdr:col>24</xdr:col>
      <xdr:colOff>49180</xdr:colOff>
      <xdr:row>689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692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683</xdr:row>
      <xdr:rowOff>19050</xdr:rowOff>
    </xdr:from>
    <xdr:to>
      <xdr:col>24</xdr:col>
      <xdr:colOff>49180</xdr:colOff>
      <xdr:row>683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684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670</xdr:row>
      <xdr:rowOff>19050</xdr:rowOff>
    </xdr:from>
    <xdr:to>
      <xdr:col>24</xdr:col>
      <xdr:colOff>47625</xdr:colOff>
      <xdr:row>670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673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696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697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698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700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699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654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613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608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610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523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522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644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644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3906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679</xdr:row>
      <xdr:rowOff>19050</xdr:rowOff>
    </xdr:from>
    <xdr:to>
      <xdr:col>18</xdr:col>
      <xdr:colOff>9526</xdr:colOff>
      <xdr:row>679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433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536</xdr:row>
      <xdr:rowOff>19050</xdr:rowOff>
    </xdr:from>
    <xdr:to>
      <xdr:col>24</xdr:col>
      <xdr:colOff>47625</xdr:colOff>
      <xdr:row>536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537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302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302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127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61</xdr:row>
      <xdr:rowOff>19050</xdr:rowOff>
    </xdr:from>
    <xdr:to>
      <xdr:col>24</xdr:col>
      <xdr:colOff>47624</xdr:colOff>
      <xdr:row>61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574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273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26</xdr:row>
      <xdr:rowOff>19050</xdr:rowOff>
    </xdr:from>
    <xdr:to>
      <xdr:col>9</xdr:col>
      <xdr:colOff>9526</xdr:colOff>
      <xdr:row>26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226</xdr:row>
      <xdr:rowOff>19050</xdr:rowOff>
    </xdr:from>
    <xdr:to>
      <xdr:col>24</xdr:col>
      <xdr:colOff>75821</xdr:colOff>
      <xdr:row>226</xdr:row>
      <xdr:rowOff>140970</xdr:rowOff>
    </xdr:to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2565975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223</xdr:row>
      <xdr:rowOff>19050</xdr:rowOff>
    </xdr:from>
    <xdr:to>
      <xdr:col>24</xdr:col>
      <xdr:colOff>47624</xdr:colOff>
      <xdr:row>223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224</xdr:row>
      <xdr:rowOff>19050</xdr:rowOff>
    </xdr:from>
    <xdr:to>
      <xdr:col>24</xdr:col>
      <xdr:colOff>47624</xdr:colOff>
      <xdr:row>224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118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123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123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119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124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119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124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300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301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212</xdr:row>
      <xdr:rowOff>19050</xdr:rowOff>
    </xdr:from>
    <xdr:ext cx="819150" cy="123825"/>
    <xdr:pic>
      <xdr:nvPicPr>
        <xdr:cNvPr id="9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306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306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209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131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269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364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325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325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374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362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363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19150" cy="123825"/>
    <xdr:pic>
      <xdr:nvPicPr>
        <xdr:cNvPr id="951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653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440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376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283</xdr:row>
      <xdr:rowOff>19050</xdr:rowOff>
    </xdr:from>
    <xdr:to>
      <xdr:col>24</xdr:col>
      <xdr:colOff>47625</xdr:colOff>
      <xdr:row>283</xdr:row>
      <xdr:rowOff>142875</xdr:rowOff>
    </xdr:to>
    <xdr:pic>
      <xdr:nvPicPr>
        <xdr:cNvPr id="14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663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664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</xdr:row>
      <xdr:rowOff>19050</xdr:rowOff>
    </xdr:from>
    <xdr:to>
      <xdr:col>24</xdr:col>
      <xdr:colOff>47624</xdr:colOff>
      <xdr:row>52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198</xdr:row>
      <xdr:rowOff>19050</xdr:rowOff>
    </xdr:from>
    <xdr:to>
      <xdr:col>24</xdr:col>
      <xdr:colOff>47625</xdr:colOff>
      <xdr:row>198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474</xdr:row>
      <xdr:rowOff>19050</xdr:rowOff>
    </xdr:from>
    <xdr:to>
      <xdr:col>24</xdr:col>
      <xdr:colOff>47624</xdr:colOff>
      <xdr:row>474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473</xdr:row>
      <xdr:rowOff>19050</xdr:rowOff>
    </xdr:from>
    <xdr:to>
      <xdr:col>24</xdr:col>
      <xdr:colOff>47624</xdr:colOff>
      <xdr:row>473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418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251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645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646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594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386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385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285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196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292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265</xdr:row>
      <xdr:rowOff>19050</xdr:rowOff>
    </xdr:from>
    <xdr:to>
      <xdr:col>24</xdr:col>
      <xdr:colOff>47625</xdr:colOff>
      <xdr:row>265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381</xdr:row>
      <xdr:rowOff>28575</xdr:rowOff>
    </xdr:from>
    <xdr:to>
      <xdr:col>1</xdr:col>
      <xdr:colOff>0</xdr:colOff>
      <xdr:row>381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430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430</xdr:row>
      <xdr:rowOff>28575</xdr:rowOff>
    </xdr:from>
    <xdr:ext cx="342900" cy="104775"/>
    <xdr:pic>
      <xdr:nvPicPr>
        <xdr:cNvPr id="89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126</xdr:row>
      <xdr:rowOff>28575</xdr:rowOff>
    </xdr:from>
    <xdr:ext cx="342900" cy="104775"/>
    <xdr:pic>
      <xdr:nvPicPr>
        <xdr:cNvPr id="86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365</xdr:row>
      <xdr:rowOff>19050</xdr:rowOff>
    </xdr:from>
    <xdr:ext cx="819150" cy="123825"/>
    <xdr:pic>
      <xdr:nvPicPr>
        <xdr:cNvPr id="8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280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350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295</xdr:row>
      <xdr:rowOff>19050</xdr:rowOff>
    </xdr:from>
    <xdr:to>
      <xdr:col>25</xdr:col>
      <xdr:colOff>83819</xdr:colOff>
      <xdr:row>295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614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290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270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308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308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130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648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5165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648</xdr:row>
      <xdr:rowOff>19050</xdr:rowOff>
    </xdr:from>
    <xdr:to>
      <xdr:col>24</xdr:col>
      <xdr:colOff>47625</xdr:colOff>
      <xdr:row>648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516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672</xdr:row>
      <xdr:rowOff>19050</xdr:rowOff>
    </xdr:from>
    <xdr:ext cx="819150" cy="123825"/>
    <xdr:pic>
      <xdr:nvPicPr>
        <xdr:cNvPr id="97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5192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252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401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561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581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581</xdr:row>
      <xdr:rowOff>28575</xdr:rowOff>
    </xdr:from>
    <xdr:ext cx="342900" cy="104775"/>
    <xdr:pic>
      <xdr:nvPicPr>
        <xdr:cNvPr id="93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8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563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565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575</xdr:row>
      <xdr:rowOff>19050</xdr:rowOff>
    </xdr:from>
    <xdr:ext cx="847346" cy="121920"/>
    <xdr:pic>
      <xdr:nvPicPr>
        <xdr:cNvPr id="1060" name="Imagen 105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320</xdr:row>
      <xdr:rowOff>19050</xdr:rowOff>
    </xdr:from>
    <xdr:to>
      <xdr:col>25</xdr:col>
      <xdr:colOff>83819</xdr:colOff>
      <xdr:row>320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312</xdr:row>
      <xdr:rowOff>28575</xdr:rowOff>
    </xdr:from>
    <xdr:to>
      <xdr:col>25</xdr:col>
      <xdr:colOff>83819</xdr:colOff>
      <xdr:row>312</xdr:row>
      <xdr:rowOff>150495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4805600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382</xdr:row>
      <xdr:rowOff>19050</xdr:rowOff>
    </xdr:from>
    <xdr:ext cx="819150" cy="123825"/>
    <xdr:pic>
      <xdr:nvPicPr>
        <xdr:cNvPr id="11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382</xdr:row>
      <xdr:rowOff>28575</xdr:rowOff>
    </xdr:from>
    <xdr:ext cx="342900" cy="104775"/>
    <xdr:pic>
      <xdr:nvPicPr>
        <xdr:cNvPr id="112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247</xdr:row>
      <xdr:rowOff>19050</xdr:rowOff>
    </xdr:from>
    <xdr:ext cx="342900" cy="104775"/>
    <xdr:pic>
      <xdr:nvPicPr>
        <xdr:cNvPr id="112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5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286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595</xdr:row>
      <xdr:rowOff>19050</xdr:rowOff>
    </xdr:from>
    <xdr:ext cx="847346" cy="121920"/>
    <xdr:pic>
      <xdr:nvPicPr>
        <xdr:cNvPr id="933" name="Imagen 93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97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584</xdr:row>
      <xdr:rowOff>19050</xdr:rowOff>
    </xdr:from>
    <xdr:ext cx="847346" cy="121920"/>
    <xdr:pic>
      <xdr:nvPicPr>
        <xdr:cNvPr id="953" name="Imagen 95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838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599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576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576</xdr:row>
      <xdr:rowOff>28575</xdr:rowOff>
    </xdr:from>
    <xdr:ext cx="342900" cy="104775"/>
    <xdr:pic>
      <xdr:nvPicPr>
        <xdr:cNvPr id="115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543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604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604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688</xdr:row>
      <xdr:rowOff>19050</xdr:rowOff>
    </xdr:from>
    <xdr:to>
      <xdr:col>24</xdr:col>
      <xdr:colOff>47624</xdr:colOff>
      <xdr:row>688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369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369</xdr:row>
      <xdr:rowOff>28575</xdr:rowOff>
    </xdr:from>
    <xdr:ext cx="342900" cy="104775"/>
    <xdr:pic>
      <xdr:nvPicPr>
        <xdr:cNvPr id="117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235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256</xdr:row>
      <xdr:rowOff>28575</xdr:rowOff>
    </xdr:from>
    <xdr:ext cx="342900" cy="104775"/>
    <xdr:pic>
      <xdr:nvPicPr>
        <xdr:cNvPr id="118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3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467</xdr:row>
      <xdr:rowOff>19050</xdr:rowOff>
    </xdr:from>
    <xdr:to>
      <xdr:col>24</xdr:col>
      <xdr:colOff>47624</xdr:colOff>
      <xdr:row>467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169</xdr:row>
      <xdr:rowOff>19050</xdr:rowOff>
    </xdr:from>
    <xdr:ext cx="819150" cy="123825"/>
    <xdr:pic>
      <xdr:nvPicPr>
        <xdr:cNvPr id="1193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19150" cy="125505"/>
    <xdr:pic>
      <xdr:nvPicPr>
        <xdr:cNvPr id="1214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424</xdr:row>
      <xdr:rowOff>19050</xdr:rowOff>
    </xdr:from>
    <xdr:to>
      <xdr:col>24</xdr:col>
      <xdr:colOff>47625</xdr:colOff>
      <xdr:row>424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144555</xdr:rowOff>
    </xdr:to>
    <xdr:pic>
      <xdr:nvPicPr>
        <xdr:cNvPr id="12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593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592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579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580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566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568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572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570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571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421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421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4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496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496</xdr:row>
      <xdr:rowOff>28575</xdr:rowOff>
    </xdr:from>
    <xdr:ext cx="342900" cy="104775"/>
    <xdr:pic>
      <xdr:nvPicPr>
        <xdr:cNvPr id="13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9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249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249</xdr:row>
      <xdr:rowOff>19050</xdr:rowOff>
    </xdr:from>
    <xdr:ext cx="342900" cy="104775"/>
    <xdr:pic>
      <xdr:nvPicPr>
        <xdr:cNvPr id="131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04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569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569</xdr:row>
      <xdr:rowOff>28575</xdr:rowOff>
    </xdr:from>
    <xdr:ext cx="342900" cy="104775"/>
    <xdr:pic>
      <xdr:nvPicPr>
        <xdr:cNvPr id="132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476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420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420</xdr:row>
      <xdr:rowOff>28575</xdr:rowOff>
    </xdr:from>
    <xdr:ext cx="342900" cy="104775"/>
    <xdr:pic>
      <xdr:nvPicPr>
        <xdr:cNvPr id="10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4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436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436</xdr:row>
      <xdr:rowOff>28575</xdr:rowOff>
    </xdr:from>
    <xdr:ext cx="342900" cy="104775"/>
    <xdr:pic>
      <xdr:nvPicPr>
        <xdr:cNvPr id="10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272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272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9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289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234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234</xdr:row>
      <xdr:rowOff>28575</xdr:rowOff>
    </xdr:from>
    <xdr:ext cx="342900" cy="104775"/>
    <xdr:pic>
      <xdr:nvPicPr>
        <xdr:cNvPr id="131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233</xdr:row>
      <xdr:rowOff>28575</xdr:rowOff>
    </xdr:from>
    <xdr:to>
      <xdr:col>1</xdr:col>
      <xdr:colOff>0</xdr:colOff>
      <xdr:row>233</xdr:row>
      <xdr:rowOff>133350</xdr:rowOff>
    </xdr:to>
    <xdr:pic>
      <xdr:nvPicPr>
        <xdr:cNvPr id="1323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99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330</xdr:row>
      <xdr:rowOff>28575</xdr:rowOff>
    </xdr:from>
    <xdr:ext cx="342900" cy="104775"/>
    <xdr:pic>
      <xdr:nvPicPr>
        <xdr:cNvPr id="116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468</xdr:row>
      <xdr:rowOff>28575</xdr:rowOff>
    </xdr:from>
    <xdr:ext cx="342900" cy="104775"/>
    <xdr:pic>
      <xdr:nvPicPr>
        <xdr:cNvPr id="117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5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469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0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417</xdr:row>
      <xdr:rowOff>19050</xdr:rowOff>
    </xdr:from>
    <xdr:ext cx="819150" cy="125505"/>
    <xdr:pic>
      <xdr:nvPicPr>
        <xdr:cNvPr id="125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931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417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618</xdr:row>
      <xdr:rowOff>19050</xdr:rowOff>
    </xdr:from>
    <xdr:ext cx="847346" cy="121920"/>
    <xdr:pic>
      <xdr:nvPicPr>
        <xdr:cNvPr id="1036" name="Imagen 103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5253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618</xdr:row>
      <xdr:rowOff>28575</xdr:rowOff>
    </xdr:from>
    <xdr:ext cx="342900" cy="104775"/>
    <xdr:pic>
      <xdr:nvPicPr>
        <xdr:cNvPr id="107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687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687</xdr:row>
      <xdr:rowOff>19050</xdr:rowOff>
    </xdr:from>
    <xdr:ext cx="819150" cy="123825"/>
    <xdr:pic>
      <xdr:nvPicPr>
        <xdr:cNvPr id="132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4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687</xdr:row>
      <xdr:rowOff>28575</xdr:rowOff>
    </xdr:from>
    <xdr:ext cx="342900" cy="104775"/>
    <xdr:pic>
      <xdr:nvPicPr>
        <xdr:cNvPr id="13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3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693</xdr:row>
      <xdr:rowOff>19050</xdr:rowOff>
    </xdr:from>
    <xdr:to>
      <xdr:col>24</xdr:col>
      <xdr:colOff>47625</xdr:colOff>
      <xdr:row>693</xdr:row>
      <xdr:rowOff>142875</xdr:rowOff>
    </xdr:to>
    <xdr:pic>
      <xdr:nvPicPr>
        <xdr:cNvPr id="1351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93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694</xdr:row>
      <xdr:rowOff>19050</xdr:rowOff>
    </xdr:from>
    <xdr:to>
      <xdr:col>24</xdr:col>
      <xdr:colOff>47625</xdr:colOff>
      <xdr:row>694</xdr:row>
      <xdr:rowOff>142875</xdr:rowOff>
    </xdr:to>
    <xdr:pic>
      <xdr:nvPicPr>
        <xdr:cNvPr id="135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08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695</xdr:row>
      <xdr:rowOff>19050</xdr:rowOff>
    </xdr:from>
    <xdr:to>
      <xdr:col>24</xdr:col>
      <xdr:colOff>47625</xdr:colOff>
      <xdr:row>695</xdr:row>
      <xdr:rowOff>142875</xdr:rowOff>
    </xdr:to>
    <xdr:pic>
      <xdr:nvPicPr>
        <xdr:cNvPr id="136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24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647</xdr:row>
      <xdr:rowOff>19050</xdr:rowOff>
    </xdr:from>
    <xdr:to>
      <xdr:col>26</xdr:col>
      <xdr:colOff>0</xdr:colOff>
      <xdr:row>647</xdr:row>
      <xdr:rowOff>142875</xdr:rowOff>
    </xdr:to>
    <xdr:pic>
      <xdr:nvPicPr>
        <xdr:cNvPr id="136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364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690</xdr:row>
      <xdr:rowOff>19050</xdr:rowOff>
    </xdr:from>
    <xdr:to>
      <xdr:col>24</xdr:col>
      <xdr:colOff>47625</xdr:colOff>
      <xdr:row>690</xdr:row>
      <xdr:rowOff>142875</xdr:rowOff>
    </xdr:to>
    <xdr:pic>
      <xdr:nvPicPr>
        <xdr:cNvPr id="1396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32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691</xdr:row>
      <xdr:rowOff>19050</xdr:rowOff>
    </xdr:from>
    <xdr:to>
      <xdr:col>24</xdr:col>
      <xdr:colOff>47625</xdr:colOff>
      <xdr:row>691</xdr:row>
      <xdr:rowOff>142875</xdr:rowOff>
    </xdr:to>
    <xdr:pic>
      <xdr:nvPicPr>
        <xdr:cNvPr id="13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649</xdr:row>
      <xdr:rowOff>19050</xdr:rowOff>
    </xdr:from>
    <xdr:to>
      <xdr:col>26</xdr:col>
      <xdr:colOff>0</xdr:colOff>
      <xdr:row>649</xdr:row>
      <xdr:rowOff>142875</xdr:rowOff>
    </xdr:to>
    <xdr:pic>
      <xdr:nvPicPr>
        <xdr:cNvPr id="140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66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671</xdr:row>
      <xdr:rowOff>19050</xdr:rowOff>
    </xdr:from>
    <xdr:ext cx="819150" cy="123825"/>
    <xdr:pic>
      <xdr:nvPicPr>
        <xdr:cNvPr id="14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2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671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878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507</xdr:row>
      <xdr:rowOff>19050</xdr:rowOff>
    </xdr:from>
    <xdr:ext cx="847346" cy="121920"/>
    <xdr:pic>
      <xdr:nvPicPr>
        <xdr:cNvPr id="1412" name="Imagen 141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508</xdr:row>
      <xdr:rowOff>19050</xdr:rowOff>
    </xdr:from>
    <xdr:ext cx="847346" cy="121920"/>
    <xdr:pic>
      <xdr:nvPicPr>
        <xdr:cNvPr id="1417" name="Imagen 141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780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511</xdr:row>
      <xdr:rowOff>19050</xdr:rowOff>
    </xdr:from>
    <xdr:ext cx="847346" cy="121920"/>
    <xdr:pic>
      <xdr:nvPicPr>
        <xdr:cNvPr id="1418" name="Imagen 141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9329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507</xdr:row>
      <xdr:rowOff>28575</xdr:rowOff>
    </xdr:from>
    <xdr:ext cx="342900" cy="104775"/>
    <xdr:pic>
      <xdr:nvPicPr>
        <xdr:cNvPr id="141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63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508</xdr:row>
      <xdr:rowOff>28575</xdr:rowOff>
    </xdr:from>
    <xdr:ext cx="342900" cy="104775"/>
    <xdr:pic>
      <xdr:nvPicPr>
        <xdr:cNvPr id="142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790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511</xdr:row>
      <xdr:rowOff>28575</xdr:rowOff>
    </xdr:from>
    <xdr:ext cx="342900" cy="104775"/>
    <xdr:pic>
      <xdr:nvPicPr>
        <xdr:cNvPr id="143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144555</xdr:rowOff>
    </xdr:to>
    <xdr:pic>
      <xdr:nvPicPr>
        <xdr:cNvPr id="90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391</xdr:row>
      <xdr:rowOff>19050</xdr:rowOff>
    </xdr:from>
    <xdr:ext cx="819150" cy="123825"/>
    <xdr:pic>
      <xdr:nvPicPr>
        <xdr:cNvPr id="9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390</xdr:row>
      <xdr:rowOff>19050</xdr:rowOff>
    </xdr:from>
    <xdr:ext cx="819150" cy="123825"/>
    <xdr:pic>
      <xdr:nvPicPr>
        <xdr:cNvPr id="9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274</xdr:row>
      <xdr:rowOff>19050</xdr:rowOff>
    </xdr:from>
    <xdr:ext cx="819149" cy="123825"/>
    <xdr:pic>
      <xdr:nvPicPr>
        <xdr:cNvPr id="14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274</xdr:row>
      <xdr:rowOff>28575</xdr:rowOff>
    </xdr:from>
    <xdr:ext cx="342900" cy="104775"/>
    <xdr:pic>
      <xdr:nvPicPr>
        <xdr:cNvPr id="144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319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309</xdr:row>
      <xdr:rowOff>19050</xdr:rowOff>
    </xdr:from>
    <xdr:ext cx="828675" cy="123825"/>
    <xdr:pic>
      <xdr:nvPicPr>
        <xdr:cNvPr id="144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253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309</xdr:row>
      <xdr:rowOff>19050</xdr:rowOff>
    </xdr:from>
    <xdr:ext cx="502919" cy="121920"/>
    <xdr:pic>
      <xdr:nvPicPr>
        <xdr:cNvPr id="1444" name="Imagen 14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253275"/>
          <a:ext cx="502919" cy="121920"/>
        </a:xfrm>
        <a:prstGeom prst="rect">
          <a:avLst/>
        </a:prstGeom>
      </xdr:spPr>
    </xdr:pic>
    <xdr:clientData/>
  </xdr:oneCellAnchor>
  <xdr:oneCellAnchor>
    <xdr:from>
      <xdr:col>26</xdr:col>
      <xdr:colOff>0</xdr:colOff>
      <xdr:row>313</xdr:row>
      <xdr:rowOff>28575</xdr:rowOff>
    </xdr:from>
    <xdr:ext cx="447675" cy="108527"/>
    <xdr:pic>
      <xdr:nvPicPr>
        <xdr:cNvPr id="1451" name="Imagen 145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50" y="45872400"/>
          <a:ext cx="447675" cy="108527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313</xdr:row>
      <xdr:rowOff>19050</xdr:rowOff>
    </xdr:from>
    <xdr:ext cx="819149" cy="123825"/>
    <xdr:pic>
      <xdr:nvPicPr>
        <xdr:cNvPr id="14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601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47625</xdr:colOff>
      <xdr:row>313</xdr:row>
      <xdr:rowOff>19050</xdr:rowOff>
    </xdr:from>
    <xdr:ext cx="819150" cy="123825"/>
    <xdr:pic>
      <xdr:nvPicPr>
        <xdr:cNvPr id="146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45862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313</xdr:row>
      <xdr:rowOff>28575</xdr:rowOff>
    </xdr:from>
    <xdr:ext cx="342900" cy="104775"/>
    <xdr:pic>
      <xdr:nvPicPr>
        <xdr:cNvPr id="14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72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19150" cy="123825"/>
    <xdr:pic>
      <xdr:nvPicPr>
        <xdr:cNvPr id="14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15</xdr:row>
      <xdr:rowOff>19050</xdr:rowOff>
    </xdr:from>
    <xdr:ext cx="819150" cy="123825"/>
    <xdr:pic>
      <xdr:nvPicPr>
        <xdr:cNvPr id="106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174</xdr:row>
      <xdr:rowOff>19050</xdr:rowOff>
    </xdr:from>
    <xdr:ext cx="819150" cy="123825"/>
    <xdr:pic>
      <xdr:nvPicPr>
        <xdr:cNvPr id="124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174</xdr:row>
      <xdr:rowOff>28575</xdr:rowOff>
    </xdr:from>
    <xdr:ext cx="342900" cy="104775"/>
    <xdr:pic>
      <xdr:nvPicPr>
        <xdr:cNvPr id="147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12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603</xdr:row>
      <xdr:rowOff>19050</xdr:rowOff>
    </xdr:from>
    <xdr:ext cx="847346" cy="121920"/>
    <xdr:pic>
      <xdr:nvPicPr>
        <xdr:cNvPr id="1229" name="Imagen 122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696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603</xdr:row>
      <xdr:rowOff>28575</xdr:rowOff>
    </xdr:from>
    <xdr:ext cx="342900" cy="104775"/>
    <xdr:pic>
      <xdr:nvPicPr>
        <xdr:cNvPr id="147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0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166</xdr:row>
      <xdr:rowOff>19050</xdr:rowOff>
    </xdr:from>
    <xdr:ext cx="819150" cy="123825"/>
    <xdr:pic>
      <xdr:nvPicPr>
        <xdr:cNvPr id="14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166</xdr:row>
      <xdr:rowOff>28575</xdr:rowOff>
    </xdr:from>
    <xdr:ext cx="342900" cy="104775"/>
    <xdr:pic>
      <xdr:nvPicPr>
        <xdr:cNvPr id="14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165</xdr:row>
      <xdr:rowOff>16566</xdr:rowOff>
    </xdr:from>
    <xdr:ext cx="819150" cy="123825"/>
    <xdr:pic>
      <xdr:nvPicPr>
        <xdr:cNvPr id="102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428123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165</xdr:row>
      <xdr:rowOff>28575</xdr:rowOff>
    </xdr:from>
    <xdr:ext cx="342900" cy="104775"/>
    <xdr:pic>
      <xdr:nvPicPr>
        <xdr:cNvPr id="12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261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4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243</xdr:row>
      <xdr:rowOff>28575</xdr:rowOff>
    </xdr:from>
    <xdr:ext cx="342900" cy="104775"/>
    <xdr:pic>
      <xdr:nvPicPr>
        <xdr:cNvPr id="14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13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243</xdr:row>
      <xdr:rowOff>19050</xdr:rowOff>
    </xdr:from>
    <xdr:to>
      <xdr:col>26</xdr:col>
      <xdr:colOff>0</xdr:colOff>
      <xdr:row>243</xdr:row>
      <xdr:rowOff>142875</xdr:rowOff>
    </xdr:to>
    <xdr:pic>
      <xdr:nvPicPr>
        <xdr:cNvPr id="1489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85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245</xdr:row>
      <xdr:rowOff>28575</xdr:rowOff>
    </xdr:from>
    <xdr:to>
      <xdr:col>26</xdr:col>
      <xdr:colOff>0</xdr:colOff>
      <xdr:row>246</xdr:row>
      <xdr:rowOff>0</xdr:rowOff>
    </xdr:to>
    <xdr:pic>
      <xdr:nvPicPr>
        <xdr:cNvPr id="1496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1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686</xdr:row>
      <xdr:rowOff>19050</xdr:rowOff>
    </xdr:from>
    <xdr:ext cx="819150" cy="123825"/>
    <xdr:pic>
      <xdr:nvPicPr>
        <xdr:cNvPr id="149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936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686</xdr:row>
      <xdr:rowOff>28575</xdr:rowOff>
    </xdr:from>
    <xdr:ext cx="342900" cy="104775"/>
    <xdr:pic>
      <xdr:nvPicPr>
        <xdr:cNvPr id="150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946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669</xdr:row>
      <xdr:rowOff>19050</xdr:rowOff>
    </xdr:from>
    <xdr:ext cx="819150" cy="123825"/>
    <xdr:pic>
      <xdr:nvPicPr>
        <xdr:cNvPr id="150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717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669</xdr:row>
      <xdr:rowOff>28575</xdr:rowOff>
    </xdr:from>
    <xdr:ext cx="342900" cy="104775"/>
    <xdr:pic>
      <xdr:nvPicPr>
        <xdr:cNvPr id="15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682</xdr:row>
      <xdr:rowOff>19050</xdr:rowOff>
    </xdr:from>
    <xdr:ext cx="819150" cy="123825"/>
    <xdr:pic>
      <xdr:nvPicPr>
        <xdr:cNvPr id="150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412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682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2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168</xdr:row>
      <xdr:rowOff>19050</xdr:rowOff>
    </xdr:from>
    <xdr:ext cx="819150" cy="123825"/>
    <xdr:pic>
      <xdr:nvPicPr>
        <xdr:cNvPr id="10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168</xdr:row>
      <xdr:rowOff>28575</xdr:rowOff>
    </xdr:from>
    <xdr:ext cx="342900" cy="104775"/>
    <xdr:pic>
      <xdr:nvPicPr>
        <xdr:cNvPr id="142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0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271</xdr:row>
      <xdr:rowOff>19050</xdr:rowOff>
    </xdr:from>
    <xdr:ext cx="819150" cy="123825"/>
    <xdr:pic>
      <xdr:nvPicPr>
        <xdr:cNvPr id="15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271</xdr:row>
      <xdr:rowOff>28575</xdr:rowOff>
    </xdr:from>
    <xdr:to>
      <xdr:col>1</xdr:col>
      <xdr:colOff>0</xdr:colOff>
      <xdr:row>271</xdr:row>
      <xdr:rowOff>133350</xdr:rowOff>
    </xdr:to>
    <xdr:pic>
      <xdr:nvPicPr>
        <xdr:cNvPr id="1537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76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199</xdr:row>
      <xdr:rowOff>28575</xdr:rowOff>
    </xdr:from>
    <xdr:ext cx="342900" cy="104775"/>
    <xdr:pic>
      <xdr:nvPicPr>
        <xdr:cNvPr id="153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200</xdr:row>
      <xdr:rowOff>28575</xdr:rowOff>
    </xdr:from>
    <xdr:ext cx="342900" cy="104775"/>
    <xdr:pic>
      <xdr:nvPicPr>
        <xdr:cNvPr id="15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75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1541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1542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437</xdr:row>
      <xdr:rowOff>19050</xdr:rowOff>
    </xdr:from>
    <xdr:ext cx="819150" cy="125505"/>
    <xdr:pic>
      <xdr:nvPicPr>
        <xdr:cNvPr id="1543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617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437</xdr:row>
      <xdr:rowOff>28575</xdr:rowOff>
    </xdr:from>
    <xdr:ext cx="342900" cy="104775"/>
    <xdr:pic>
      <xdr:nvPicPr>
        <xdr:cNvPr id="154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2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438</xdr:row>
      <xdr:rowOff>19050</xdr:rowOff>
    </xdr:from>
    <xdr:ext cx="819150" cy="125505"/>
    <xdr:pic>
      <xdr:nvPicPr>
        <xdr:cNvPr id="154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438</xdr:row>
      <xdr:rowOff>28575</xdr:rowOff>
    </xdr:from>
    <xdr:ext cx="342900" cy="104775"/>
    <xdr:pic>
      <xdr:nvPicPr>
        <xdr:cNvPr id="154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79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567</xdr:row>
      <xdr:rowOff>19050</xdr:rowOff>
    </xdr:from>
    <xdr:ext cx="847346" cy="121920"/>
    <xdr:pic>
      <xdr:nvPicPr>
        <xdr:cNvPr id="1547" name="Imagen 154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72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567</xdr:row>
      <xdr:rowOff>28575</xdr:rowOff>
    </xdr:from>
    <xdr:ext cx="342900" cy="104775"/>
    <xdr:pic>
      <xdr:nvPicPr>
        <xdr:cNvPr id="154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819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602</xdr:row>
      <xdr:rowOff>19050</xdr:rowOff>
    </xdr:from>
    <xdr:ext cx="847346" cy="121920"/>
    <xdr:pic>
      <xdr:nvPicPr>
        <xdr:cNvPr id="1549" name="Imagen 154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220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602</xdr:row>
      <xdr:rowOff>28575</xdr:rowOff>
    </xdr:from>
    <xdr:ext cx="342900" cy="104775"/>
    <xdr:pic>
      <xdr:nvPicPr>
        <xdr:cNvPr id="155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3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620</xdr:row>
      <xdr:rowOff>19050</xdr:rowOff>
    </xdr:from>
    <xdr:ext cx="847346" cy="121920"/>
    <xdr:pic>
      <xdr:nvPicPr>
        <xdr:cNvPr id="1551" name="Imagen 155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506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620</xdr:row>
      <xdr:rowOff>28575</xdr:rowOff>
    </xdr:from>
    <xdr:ext cx="342900" cy="104775"/>
    <xdr:pic>
      <xdr:nvPicPr>
        <xdr:cNvPr id="15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51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562</xdr:row>
      <xdr:rowOff>19050</xdr:rowOff>
    </xdr:from>
    <xdr:ext cx="847346" cy="121920"/>
    <xdr:pic>
      <xdr:nvPicPr>
        <xdr:cNvPr id="1015" name="Imagen 101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6104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171</xdr:row>
      <xdr:rowOff>28575</xdr:rowOff>
    </xdr:from>
    <xdr:ext cx="342900" cy="104775"/>
    <xdr:pic>
      <xdr:nvPicPr>
        <xdr:cNvPr id="103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171</xdr:row>
      <xdr:rowOff>19050</xdr:rowOff>
    </xdr:from>
    <xdr:ext cx="819150" cy="123825"/>
    <xdr:pic>
      <xdr:nvPicPr>
        <xdr:cNvPr id="10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176</xdr:row>
      <xdr:rowOff>16566</xdr:rowOff>
    </xdr:from>
    <xdr:ext cx="819150" cy="123825"/>
    <xdr:pic>
      <xdr:nvPicPr>
        <xdr:cNvPr id="112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249434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176</xdr:row>
      <xdr:rowOff>28575</xdr:rowOff>
    </xdr:from>
    <xdr:ext cx="342900" cy="104775"/>
    <xdr:pic>
      <xdr:nvPicPr>
        <xdr:cNvPr id="11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170</xdr:row>
      <xdr:rowOff>28575</xdr:rowOff>
    </xdr:from>
    <xdr:ext cx="342900" cy="104775"/>
    <xdr:pic>
      <xdr:nvPicPr>
        <xdr:cNvPr id="121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69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170</xdr:row>
      <xdr:rowOff>19050</xdr:rowOff>
    </xdr:from>
    <xdr:ext cx="819150" cy="123825"/>
    <xdr:pic>
      <xdr:nvPicPr>
        <xdr:cNvPr id="12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177</xdr:row>
      <xdr:rowOff>28575</xdr:rowOff>
    </xdr:from>
    <xdr:ext cx="342900" cy="104775"/>
    <xdr:pic>
      <xdr:nvPicPr>
        <xdr:cNvPr id="127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69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177</xdr:row>
      <xdr:rowOff>19050</xdr:rowOff>
    </xdr:from>
    <xdr:ext cx="819150" cy="123825"/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102</xdr:row>
      <xdr:rowOff>19050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102</xdr:row>
      <xdr:rowOff>28575</xdr:rowOff>
    </xdr:from>
    <xdr:ext cx="342900" cy="104775"/>
    <xdr:pic>
      <xdr:nvPicPr>
        <xdr:cNvPr id="15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59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619</xdr:row>
      <xdr:rowOff>28575</xdr:rowOff>
    </xdr:from>
    <xdr:ext cx="342900" cy="104775"/>
    <xdr:pic>
      <xdr:nvPicPr>
        <xdr:cNvPr id="99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49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619</xdr:row>
      <xdr:rowOff>19050</xdr:rowOff>
    </xdr:from>
    <xdr:to>
      <xdr:col>24</xdr:col>
      <xdr:colOff>47624</xdr:colOff>
      <xdr:row>619</xdr:row>
      <xdr:rowOff>142875</xdr:rowOff>
    </xdr:to>
    <xdr:pic>
      <xdr:nvPicPr>
        <xdr:cNvPr id="15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935926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372</xdr:row>
      <xdr:rowOff>28575</xdr:rowOff>
    </xdr:from>
    <xdr:to>
      <xdr:col>1</xdr:col>
      <xdr:colOff>0</xdr:colOff>
      <xdr:row>372</xdr:row>
      <xdr:rowOff>133350</xdr:rowOff>
    </xdr:to>
    <xdr:pic>
      <xdr:nvPicPr>
        <xdr:cNvPr id="9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40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439</xdr:row>
      <xdr:rowOff>19050</xdr:rowOff>
    </xdr:from>
    <xdr:ext cx="819150" cy="123825"/>
    <xdr:pic>
      <xdr:nvPicPr>
        <xdr:cNvPr id="11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14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442</xdr:row>
      <xdr:rowOff>19050</xdr:rowOff>
    </xdr:from>
    <xdr:ext cx="819150" cy="123825"/>
    <xdr:pic>
      <xdr:nvPicPr>
        <xdr:cNvPr id="15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698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368</xdr:row>
      <xdr:rowOff>16566</xdr:rowOff>
    </xdr:from>
    <xdr:ext cx="819150" cy="123825"/>
    <xdr:pic>
      <xdr:nvPicPr>
        <xdr:cNvPr id="15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56423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368</xdr:row>
      <xdr:rowOff>28575</xdr:rowOff>
    </xdr:from>
    <xdr:ext cx="342900" cy="104775"/>
    <xdr:pic>
      <xdr:nvPicPr>
        <xdr:cNvPr id="1559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443</xdr:row>
      <xdr:rowOff>19050</xdr:rowOff>
    </xdr:from>
    <xdr:ext cx="819150" cy="123825"/>
    <xdr:pic>
      <xdr:nvPicPr>
        <xdr:cNvPr id="9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7294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443</xdr:row>
      <xdr:rowOff>28575</xdr:rowOff>
    </xdr:from>
    <xdr:ext cx="342900" cy="104775"/>
    <xdr:pic>
      <xdr:nvPicPr>
        <xdr:cNvPr id="99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76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512</xdr:row>
      <xdr:rowOff>28575</xdr:rowOff>
    </xdr:from>
    <xdr:ext cx="342900" cy="104775"/>
    <xdr:pic>
      <xdr:nvPicPr>
        <xdr:cNvPr id="105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62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512</xdr:row>
      <xdr:rowOff>19050</xdr:rowOff>
    </xdr:from>
    <xdr:ext cx="847346" cy="121920"/>
    <xdr:pic>
      <xdr:nvPicPr>
        <xdr:cNvPr id="1098" name="Imagen 109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552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513</xdr:row>
      <xdr:rowOff>19050</xdr:rowOff>
    </xdr:from>
    <xdr:ext cx="847346" cy="121920"/>
    <xdr:pic>
      <xdr:nvPicPr>
        <xdr:cNvPr id="1130" name="Imagen 112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70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513</xdr:row>
      <xdr:rowOff>28575</xdr:rowOff>
    </xdr:from>
    <xdr:ext cx="342900" cy="104775"/>
    <xdr:pic>
      <xdr:nvPicPr>
        <xdr:cNvPr id="105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1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173</xdr:row>
      <xdr:rowOff>19050</xdr:rowOff>
    </xdr:from>
    <xdr:ext cx="819150" cy="123825"/>
    <xdr:pic>
      <xdr:nvPicPr>
        <xdr:cNvPr id="10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616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173</xdr:row>
      <xdr:rowOff>28575</xdr:rowOff>
    </xdr:from>
    <xdr:ext cx="342900" cy="104775"/>
    <xdr:pic>
      <xdr:nvPicPr>
        <xdr:cNvPr id="11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27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262</xdr:row>
      <xdr:rowOff>28575</xdr:rowOff>
    </xdr:from>
    <xdr:ext cx="342900" cy="104775"/>
    <xdr:pic>
      <xdr:nvPicPr>
        <xdr:cNvPr id="9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76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110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263</xdr:row>
      <xdr:rowOff>28575</xdr:rowOff>
    </xdr:from>
    <xdr:ext cx="342900" cy="104775"/>
    <xdr:pic>
      <xdr:nvPicPr>
        <xdr:cNvPr id="110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28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263</xdr:row>
      <xdr:rowOff>19050</xdr:rowOff>
    </xdr:from>
    <xdr:ext cx="819150" cy="123825"/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103</xdr:row>
      <xdr:rowOff>19050</xdr:rowOff>
    </xdr:from>
    <xdr:ext cx="819150" cy="123825"/>
    <xdr:pic>
      <xdr:nvPicPr>
        <xdr:cNvPr id="11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20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11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49" cy="123825"/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254</xdr:row>
      <xdr:rowOff>19050</xdr:rowOff>
    </xdr:from>
    <xdr:ext cx="819149" cy="123825"/>
    <xdr:pic>
      <xdr:nvPicPr>
        <xdr:cNvPr id="11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49" cy="123825"/>
    <xdr:pic>
      <xdr:nvPicPr>
        <xdr:cNvPr id="12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52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49" cy="123825"/>
    <xdr:pic>
      <xdr:nvPicPr>
        <xdr:cNvPr id="12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00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257</xdr:row>
      <xdr:rowOff>19050</xdr:rowOff>
    </xdr:from>
    <xdr:ext cx="819149" cy="123825"/>
    <xdr:pic>
      <xdr:nvPicPr>
        <xdr:cNvPr id="13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157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259</xdr:row>
      <xdr:rowOff>19050</xdr:rowOff>
    </xdr:from>
    <xdr:ext cx="819149" cy="123825"/>
    <xdr:pic>
      <xdr:nvPicPr>
        <xdr:cNvPr id="14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6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258</xdr:row>
      <xdr:rowOff>19050</xdr:rowOff>
    </xdr:from>
    <xdr:ext cx="819149" cy="123825"/>
    <xdr:pic>
      <xdr:nvPicPr>
        <xdr:cNvPr id="15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260</xdr:row>
      <xdr:rowOff>19050</xdr:rowOff>
    </xdr:from>
    <xdr:ext cx="819149" cy="123825"/>
    <xdr:pic>
      <xdr:nvPicPr>
        <xdr:cNvPr id="15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61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261</xdr:row>
      <xdr:rowOff>19050</xdr:rowOff>
    </xdr:from>
    <xdr:ext cx="819149" cy="123825"/>
    <xdr:pic>
      <xdr:nvPicPr>
        <xdr:cNvPr id="15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766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463</xdr:row>
      <xdr:rowOff>28575</xdr:rowOff>
    </xdr:from>
    <xdr:ext cx="342900" cy="104775"/>
    <xdr:pic>
      <xdr:nvPicPr>
        <xdr:cNvPr id="11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464</xdr:row>
      <xdr:rowOff>28575</xdr:rowOff>
    </xdr:from>
    <xdr:ext cx="342900" cy="104775"/>
    <xdr:pic>
      <xdr:nvPicPr>
        <xdr:cNvPr id="117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463</xdr:row>
      <xdr:rowOff>19050</xdr:rowOff>
    </xdr:from>
    <xdr:to>
      <xdr:col>24</xdr:col>
      <xdr:colOff>47625</xdr:colOff>
      <xdr:row>463</xdr:row>
      <xdr:rowOff>142875</xdr:rowOff>
    </xdr:to>
    <xdr:pic>
      <xdr:nvPicPr>
        <xdr:cNvPr id="124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40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464</xdr:row>
      <xdr:rowOff>19050</xdr:rowOff>
    </xdr:from>
    <xdr:to>
      <xdr:col>24</xdr:col>
      <xdr:colOff>47625</xdr:colOff>
      <xdr:row>464</xdr:row>
      <xdr:rowOff>142875</xdr:rowOff>
    </xdr:to>
    <xdr:pic>
      <xdr:nvPicPr>
        <xdr:cNvPr id="1265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465</xdr:row>
      <xdr:rowOff>28575</xdr:rowOff>
    </xdr:from>
    <xdr:ext cx="342900" cy="104775"/>
    <xdr:pic>
      <xdr:nvPicPr>
        <xdr:cNvPr id="136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465</xdr:row>
      <xdr:rowOff>19050</xdr:rowOff>
    </xdr:from>
    <xdr:ext cx="819150" cy="123825"/>
    <xdr:pic>
      <xdr:nvPicPr>
        <xdr:cNvPr id="136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466</xdr:row>
      <xdr:rowOff>28575</xdr:rowOff>
    </xdr:from>
    <xdr:ext cx="342900" cy="104775"/>
    <xdr:pic>
      <xdr:nvPicPr>
        <xdr:cNvPr id="14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19150" cy="123825"/>
    <xdr:pic>
      <xdr:nvPicPr>
        <xdr:cNvPr id="143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713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14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244</xdr:row>
      <xdr:rowOff>28575</xdr:rowOff>
    </xdr:from>
    <xdr:to>
      <xdr:col>26</xdr:col>
      <xdr:colOff>0</xdr:colOff>
      <xdr:row>245</xdr:row>
      <xdr:rowOff>0</xdr:rowOff>
    </xdr:to>
    <xdr:pic>
      <xdr:nvPicPr>
        <xdr:cNvPr id="144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14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277</xdr:row>
      <xdr:rowOff>19050</xdr:rowOff>
    </xdr:from>
    <xdr:to>
      <xdr:col>24</xdr:col>
      <xdr:colOff>47625</xdr:colOff>
      <xdr:row>277</xdr:row>
      <xdr:rowOff>142875</xdr:rowOff>
    </xdr:to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20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278</xdr:row>
      <xdr:rowOff>19050</xdr:rowOff>
    </xdr:from>
    <xdr:to>
      <xdr:col>24</xdr:col>
      <xdr:colOff>47625</xdr:colOff>
      <xdr:row>278</xdr:row>
      <xdr:rowOff>142875</xdr:rowOff>
    </xdr:to>
    <xdr:pic>
      <xdr:nvPicPr>
        <xdr:cNvPr id="14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35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312</xdr:row>
      <xdr:rowOff>19050</xdr:rowOff>
    </xdr:from>
    <xdr:ext cx="828675" cy="123825"/>
    <xdr:pic>
      <xdr:nvPicPr>
        <xdr:cNvPr id="149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30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15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15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15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5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5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547</xdr:row>
      <xdr:rowOff>19050</xdr:rowOff>
    </xdr:from>
    <xdr:to>
      <xdr:col>24</xdr:col>
      <xdr:colOff>48389</xdr:colOff>
      <xdr:row>547</xdr:row>
      <xdr:rowOff>140970</xdr:rowOff>
    </xdr:to>
    <xdr:pic>
      <xdr:nvPicPr>
        <xdr:cNvPr id="938" name="Imagen 937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191475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196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403</xdr:row>
      <xdr:rowOff>19050</xdr:rowOff>
    </xdr:from>
    <xdr:to>
      <xdr:col>24</xdr:col>
      <xdr:colOff>47625</xdr:colOff>
      <xdr:row>403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109</xdr:row>
      <xdr:rowOff>19050</xdr:rowOff>
    </xdr:from>
    <xdr:ext cx="819150" cy="123825"/>
    <xdr:pic>
      <xdr:nvPicPr>
        <xdr:cNvPr id="1037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109</xdr:row>
      <xdr:rowOff>19050</xdr:rowOff>
    </xdr:from>
    <xdr:ext cx="819149" cy="123825"/>
    <xdr:pic>
      <xdr:nvPicPr>
        <xdr:cNvPr id="1084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6811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109</xdr:row>
      <xdr:rowOff>28575</xdr:rowOff>
    </xdr:from>
    <xdr:ext cx="342900" cy="104775"/>
    <xdr:pic>
      <xdr:nvPicPr>
        <xdr:cNvPr id="109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110</xdr:row>
      <xdr:rowOff>19050</xdr:rowOff>
    </xdr:from>
    <xdr:ext cx="819150" cy="123825"/>
    <xdr:pic>
      <xdr:nvPicPr>
        <xdr:cNvPr id="1091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110</xdr:row>
      <xdr:rowOff>28575</xdr:rowOff>
    </xdr:from>
    <xdr:ext cx="342900" cy="104775"/>
    <xdr:pic>
      <xdr:nvPicPr>
        <xdr:cNvPr id="117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111</xdr:row>
      <xdr:rowOff>19050</xdr:rowOff>
    </xdr:from>
    <xdr:ext cx="819150" cy="123825"/>
    <xdr:pic>
      <xdr:nvPicPr>
        <xdr:cNvPr id="118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111</xdr:row>
      <xdr:rowOff>19050</xdr:rowOff>
    </xdr:from>
    <xdr:ext cx="819149" cy="123825"/>
    <xdr:pic>
      <xdr:nvPicPr>
        <xdr:cNvPr id="1198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1164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111</xdr:row>
      <xdr:rowOff>28575</xdr:rowOff>
    </xdr:from>
    <xdr:ext cx="342900" cy="104775"/>
    <xdr:pic>
      <xdr:nvPicPr>
        <xdr:cNvPr id="121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112</xdr:row>
      <xdr:rowOff>19050</xdr:rowOff>
    </xdr:from>
    <xdr:ext cx="819150" cy="123825"/>
    <xdr:pic>
      <xdr:nvPicPr>
        <xdr:cNvPr id="135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112</xdr:row>
      <xdr:rowOff>28575</xdr:rowOff>
    </xdr:from>
    <xdr:ext cx="342900" cy="104775"/>
    <xdr:pic>
      <xdr:nvPicPr>
        <xdr:cNvPr id="145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78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50</xdr:row>
      <xdr:rowOff>19050</xdr:rowOff>
    </xdr:from>
    <xdr:to>
      <xdr:col>10</xdr:col>
      <xdr:colOff>400049</xdr:colOff>
      <xdr:row>50</xdr:row>
      <xdr:rowOff>142875</xdr:rowOff>
    </xdr:to>
    <xdr:pic>
      <xdr:nvPicPr>
        <xdr:cNvPr id="15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924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51</xdr:row>
      <xdr:rowOff>19050</xdr:rowOff>
    </xdr:from>
    <xdr:to>
      <xdr:col>10</xdr:col>
      <xdr:colOff>400049</xdr:colOff>
      <xdr:row>51</xdr:row>
      <xdr:rowOff>142875</xdr:rowOff>
    </xdr:to>
    <xdr:pic>
      <xdr:nvPicPr>
        <xdr:cNvPr id="15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198</xdr:row>
      <xdr:rowOff>28575</xdr:rowOff>
    </xdr:from>
    <xdr:to>
      <xdr:col>1</xdr:col>
      <xdr:colOff>0</xdr:colOff>
      <xdr:row>198</xdr:row>
      <xdr:rowOff>133350</xdr:rowOff>
    </xdr:to>
    <xdr:pic>
      <xdr:nvPicPr>
        <xdr:cNvPr id="916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46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264</xdr:row>
      <xdr:rowOff>28575</xdr:rowOff>
    </xdr:from>
    <xdr:to>
      <xdr:col>1</xdr:col>
      <xdr:colOff>0</xdr:colOff>
      <xdr:row>264</xdr:row>
      <xdr:rowOff>133350</xdr:rowOff>
    </xdr:to>
    <xdr:pic>
      <xdr:nvPicPr>
        <xdr:cNvPr id="919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4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579</xdr:row>
      <xdr:rowOff>28575</xdr:rowOff>
    </xdr:from>
    <xdr:to>
      <xdr:col>1</xdr:col>
      <xdr:colOff>0</xdr:colOff>
      <xdr:row>579</xdr:row>
      <xdr:rowOff>133350</xdr:rowOff>
    </xdr:to>
    <xdr:pic>
      <xdr:nvPicPr>
        <xdr:cNvPr id="920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920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609</xdr:row>
      <xdr:rowOff>28575</xdr:rowOff>
    </xdr:from>
    <xdr:to>
      <xdr:col>1</xdr:col>
      <xdr:colOff>0</xdr:colOff>
      <xdr:row>609</xdr:row>
      <xdr:rowOff>133350</xdr:rowOff>
    </xdr:to>
    <xdr:pic>
      <xdr:nvPicPr>
        <xdr:cNvPr id="105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11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570</xdr:row>
      <xdr:rowOff>28575</xdr:rowOff>
    </xdr:from>
    <xdr:to>
      <xdr:col>1</xdr:col>
      <xdr:colOff>0</xdr:colOff>
      <xdr:row>570</xdr:row>
      <xdr:rowOff>133350</xdr:rowOff>
    </xdr:to>
    <xdr:pic>
      <xdr:nvPicPr>
        <xdr:cNvPr id="113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72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578</xdr:row>
      <xdr:rowOff>28575</xdr:rowOff>
    </xdr:from>
    <xdr:to>
      <xdr:col>1</xdr:col>
      <xdr:colOff>0</xdr:colOff>
      <xdr:row>578</xdr:row>
      <xdr:rowOff>133350</xdr:rowOff>
    </xdr:to>
    <xdr:pic>
      <xdr:nvPicPr>
        <xdr:cNvPr id="115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83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311</xdr:row>
      <xdr:rowOff>19050</xdr:rowOff>
    </xdr:from>
    <xdr:ext cx="828675" cy="123825"/>
    <xdr:pic>
      <xdr:nvPicPr>
        <xdr:cNvPr id="13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691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311</xdr:row>
      <xdr:rowOff>19050</xdr:rowOff>
    </xdr:from>
    <xdr:ext cx="502919" cy="121920"/>
    <xdr:pic>
      <xdr:nvPicPr>
        <xdr:cNvPr id="1521" name="Imagen 152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691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311</xdr:row>
      <xdr:rowOff>28575</xdr:rowOff>
    </xdr:from>
    <xdr:ext cx="342900" cy="104775"/>
    <xdr:pic>
      <xdr:nvPicPr>
        <xdr:cNvPr id="155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01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308</xdr:row>
      <xdr:rowOff>28575</xdr:rowOff>
    </xdr:from>
    <xdr:to>
      <xdr:col>1</xdr:col>
      <xdr:colOff>0</xdr:colOff>
      <xdr:row>308</xdr:row>
      <xdr:rowOff>133350</xdr:rowOff>
    </xdr:to>
    <xdr:pic>
      <xdr:nvPicPr>
        <xdr:cNvPr id="145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548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306</xdr:row>
      <xdr:rowOff>28575</xdr:rowOff>
    </xdr:from>
    <xdr:to>
      <xdr:col>1</xdr:col>
      <xdr:colOff>0</xdr:colOff>
      <xdr:row>306</xdr:row>
      <xdr:rowOff>133350</xdr:rowOff>
    </xdr:to>
    <xdr:pic>
      <xdr:nvPicPr>
        <xdr:cNvPr id="155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253</xdr:row>
      <xdr:rowOff>28575</xdr:rowOff>
    </xdr:from>
    <xdr:to>
      <xdr:col>1</xdr:col>
      <xdr:colOff>0</xdr:colOff>
      <xdr:row>253</xdr:row>
      <xdr:rowOff>133350</xdr:rowOff>
    </xdr:to>
    <xdr:pic>
      <xdr:nvPicPr>
        <xdr:cNvPr id="1555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66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608</xdr:row>
      <xdr:rowOff>28575</xdr:rowOff>
    </xdr:from>
    <xdr:to>
      <xdr:col>1</xdr:col>
      <xdr:colOff>0</xdr:colOff>
      <xdr:row>608</xdr:row>
      <xdr:rowOff>133350</xdr:rowOff>
    </xdr:to>
    <xdr:pic>
      <xdr:nvPicPr>
        <xdr:cNvPr id="155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11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320</xdr:row>
      <xdr:rowOff>28575</xdr:rowOff>
    </xdr:from>
    <xdr:to>
      <xdr:col>1</xdr:col>
      <xdr:colOff>0</xdr:colOff>
      <xdr:row>320</xdr:row>
      <xdr:rowOff>133350</xdr:rowOff>
    </xdr:to>
    <xdr:pic>
      <xdr:nvPicPr>
        <xdr:cNvPr id="1567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615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134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43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28575</xdr:rowOff>
    </xdr:from>
    <xdr:ext cx="342900" cy="104775"/>
    <xdr:pic>
      <xdr:nvPicPr>
        <xdr:cNvPr id="122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19150" cy="123825"/>
    <xdr:pic>
      <xdr:nvPicPr>
        <xdr:cNvPr id="156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288</xdr:row>
      <xdr:rowOff>19050</xdr:rowOff>
    </xdr:from>
    <xdr:ext cx="502919" cy="121920"/>
    <xdr:pic>
      <xdr:nvPicPr>
        <xdr:cNvPr id="1569" name="Imagen 156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288</xdr:row>
      <xdr:rowOff>28575</xdr:rowOff>
    </xdr:from>
    <xdr:ext cx="342900" cy="104775"/>
    <xdr:pic>
      <xdr:nvPicPr>
        <xdr:cNvPr id="15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0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388</xdr:row>
      <xdr:rowOff>19050</xdr:rowOff>
    </xdr:from>
    <xdr:ext cx="819150" cy="123825"/>
    <xdr:pic>
      <xdr:nvPicPr>
        <xdr:cNvPr id="15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01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388</xdr:row>
      <xdr:rowOff>28575</xdr:rowOff>
    </xdr:from>
    <xdr:ext cx="342900" cy="104775"/>
    <xdr:pic>
      <xdr:nvPicPr>
        <xdr:cNvPr id="157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26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409</xdr:row>
      <xdr:rowOff>28575</xdr:rowOff>
    </xdr:from>
    <xdr:to>
      <xdr:col>1</xdr:col>
      <xdr:colOff>0</xdr:colOff>
      <xdr:row>409</xdr:row>
      <xdr:rowOff>133350</xdr:rowOff>
    </xdr:to>
    <xdr:pic>
      <xdr:nvPicPr>
        <xdr:cNvPr id="1573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389</xdr:row>
      <xdr:rowOff>28575</xdr:rowOff>
    </xdr:from>
    <xdr:to>
      <xdr:col>1</xdr:col>
      <xdr:colOff>0</xdr:colOff>
      <xdr:row>389</xdr:row>
      <xdr:rowOff>133350</xdr:rowOff>
    </xdr:to>
    <xdr:pic>
      <xdr:nvPicPr>
        <xdr:cNvPr id="157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480</xdr:row>
      <xdr:rowOff>19050</xdr:rowOff>
    </xdr:from>
    <xdr:ext cx="819149" cy="123825"/>
    <xdr:pic>
      <xdr:nvPicPr>
        <xdr:cNvPr id="15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0853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650</xdr:row>
      <xdr:rowOff>19050</xdr:rowOff>
    </xdr:from>
    <xdr:ext cx="847346" cy="121920"/>
    <xdr:pic>
      <xdr:nvPicPr>
        <xdr:cNvPr id="1576" name="Imagen 157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1004792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650</xdr:row>
      <xdr:rowOff>19050</xdr:rowOff>
    </xdr:from>
    <xdr:to>
      <xdr:col>24</xdr:col>
      <xdr:colOff>47625</xdr:colOff>
      <xdr:row>650</xdr:row>
      <xdr:rowOff>142875</xdr:rowOff>
    </xdr:to>
    <xdr:pic>
      <xdr:nvPicPr>
        <xdr:cNvPr id="157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601</xdr:row>
      <xdr:rowOff>19050</xdr:rowOff>
    </xdr:from>
    <xdr:ext cx="847346" cy="121920"/>
    <xdr:pic>
      <xdr:nvPicPr>
        <xdr:cNvPr id="1578" name="Imagen 157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94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601</xdr:row>
      <xdr:rowOff>28575</xdr:rowOff>
    </xdr:from>
    <xdr:ext cx="342900" cy="104775"/>
    <xdr:pic>
      <xdr:nvPicPr>
        <xdr:cNvPr id="157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5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577</xdr:row>
      <xdr:rowOff>19050</xdr:rowOff>
    </xdr:from>
    <xdr:ext cx="847346" cy="121920"/>
    <xdr:pic>
      <xdr:nvPicPr>
        <xdr:cNvPr id="944" name="Imagen 94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640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577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4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709" TargetMode="External"/><Relationship Id="rId21" Type="http://schemas.openxmlformats.org/officeDocument/2006/relationships/hyperlink" Target="https://www.jivi.com.ar/ficha.php?id=101" TargetMode="External"/><Relationship Id="rId324" Type="http://schemas.openxmlformats.org/officeDocument/2006/relationships/hyperlink" Target="https://www.jivi.com.ar/ficha.php?id=1511" TargetMode="External"/><Relationship Id="rId531" Type="http://schemas.openxmlformats.org/officeDocument/2006/relationships/hyperlink" Target="https://www.jivi.com.ar/ficha.php?id=1616" TargetMode="External"/><Relationship Id="rId629" Type="http://schemas.openxmlformats.org/officeDocument/2006/relationships/hyperlink" Target="https://www.jivi.com.ar/ficha.php?id=2171" TargetMode="External"/><Relationship Id="rId170" Type="http://schemas.openxmlformats.org/officeDocument/2006/relationships/hyperlink" Target="https://www.jivi.com.ar/ficha.php?id=1172" TargetMode="External"/><Relationship Id="rId268" Type="http://schemas.openxmlformats.org/officeDocument/2006/relationships/hyperlink" Target="https://www.jivi.com.ar/ficha.php?id=1429" TargetMode="External"/><Relationship Id="rId475" Type="http://schemas.openxmlformats.org/officeDocument/2006/relationships/hyperlink" Target="https://www.jivi.com.ar/ficha.php?id=1745" TargetMode="External"/><Relationship Id="rId32" Type="http://schemas.openxmlformats.org/officeDocument/2006/relationships/hyperlink" Target="https://www.jivi.com.ar/ficha.php?id=113" TargetMode="External"/><Relationship Id="rId128" Type="http://schemas.openxmlformats.org/officeDocument/2006/relationships/hyperlink" Target="https://www.jivi.com.ar/ficha.php?id=918" TargetMode="External"/><Relationship Id="rId335" Type="http://schemas.openxmlformats.org/officeDocument/2006/relationships/hyperlink" Target="https://www.jivi.com.ar/ficha.php?id=1539" TargetMode="External"/><Relationship Id="rId542" Type="http://schemas.openxmlformats.org/officeDocument/2006/relationships/hyperlink" Target="https://www.jivi.com.ar/ficha.php?id=1371" TargetMode="External"/><Relationship Id="rId181" Type="http://schemas.openxmlformats.org/officeDocument/2006/relationships/hyperlink" Target="https://www.jivi.com.ar/ficha.php?id=1209" TargetMode="External"/><Relationship Id="rId402" Type="http://schemas.openxmlformats.org/officeDocument/2006/relationships/hyperlink" Target="https://www.jivi.com.ar/ficha.php?id=1424" TargetMode="External"/><Relationship Id="rId279" Type="http://schemas.openxmlformats.org/officeDocument/2006/relationships/hyperlink" Target="https://www.jivi.com.ar/ficha.php?id=1334" TargetMode="External"/><Relationship Id="rId486" Type="http://schemas.openxmlformats.org/officeDocument/2006/relationships/hyperlink" Target="https://www.jivi.com.ar/ficha.php?id=1304" TargetMode="External"/><Relationship Id="rId43" Type="http://schemas.openxmlformats.org/officeDocument/2006/relationships/hyperlink" Target="https://www.jivi.com.ar/ficha.php?id=638" TargetMode="External"/><Relationship Id="rId139" Type="http://schemas.openxmlformats.org/officeDocument/2006/relationships/hyperlink" Target="https://www.jivi.com.ar/ficha.php?id=850" TargetMode="External"/><Relationship Id="rId346" Type="http://schemas.openxmlformats.org/officeDocument/2006/relationships/hyperlink" Target="https://www.jivi.com.ar/ficha.php?id=1311" TargetMode="External"/><Relationship Id="rId553" Type="http://schemas.openxmlformats.org/officeDocument/2006/relationships/hyperlink" Target="https://www.jivi.com.ar/ficha.php?id=1411" TargetMode="External"/><Relationship Id="rId192" Type="http://schemas.openxmlformats.org/officeDocument/2006/relationships/hyperlink" Target="https://www.jivi.com.ar/ficha.php?id=1060" TargetMode="External"/><Relationship Id="rId206" Type="http://schemas.openxmlformats.org/officeDocument/2006/relationships/hyperlink" Target="https://www.jivi.com.ar/ficha.php?id=1607" TargetMode="External"/><Relationship Id="rId413" Type="http://schemas.openxmlformats.org/officeDocument/2006/relationships/hyperlink" Target="https://www.jivi.com.ar/ficha.php?id=608" TargetMode="External"/><Relationship Id="rId497" Type="http://schemas.openxmlformats.org/officeDocument/2006/relationships/hyperlink" Target="https://www.jivi.com.ar/ficha.php?id=1265" TargetMode="External"/><Relationship Id="rId620" Type="http://schemas.openxmlformats.org/officeDocument/2006/relationships/hyperlink" Target="https://www.jivi.com.ar/ficha.php?id=2101" TargetMode="External"/><Relationship Id="rId357" Type="http://schemas.openxmlformats.org/officeDocument/2006/relationships/hyperlink" Target="https://www.jivi.com.ar/ficha.php?id=1563" TargetMode="External"/><Relationship Id="rId54" Type="http://schemas.openxmlformats.org/officeDocument/2006/relationships/hyperlink" Target="https://www.jivi.com.ar/ficha.php?id=120" TargetMode="External"/><Relationship Id="rId217" Type="http://schemas.openxmlformats.org/officeDocument/2006/relationships/hyperlink" Target="https://www.jivi.com.ar/ficha.php?id=1333" TargetMode="External"/><Relationship Id="rId564" Type="http://schemas.openxmlformats.org/officeDocument/2006/relationships/hyperlink" Target="https://www.jivi.com.ar/ficha.php?id=1720" TargetMode="External"/><Relationship Id="rId424" Type="http://schemas.openxmlformats.org/officeDocument/2006/relationships/hyperlink" Target="https://www.jivi.com.ar/ficha.php?id=1642" TargetMode="External"/><Relationship Id="rId631" Type="http://schemas.openxmlformats.org/officeDocument/2006/relationships/hyperlink" Target="https://www.jivi.com.ar/ficha.php?id=2105" TargetMode="External"/><Relationship Id="rId270" Type="http://schemas.openxmlformats.org/officeDocument/2006/relationships/hyperlink" Target="https://www.jivi.com.ar/ficha.php?id=1432" TargetMode="External"/><Relationship Id="rId65" Type="http://schemas.openxmlformats.org/officeDocument/2006/relationships/hyperlink" Target="https://www.jivi.com.ar/ficha.php?id=60" TargetMode="External"/><Relationship Id="rId130" Type="http://schemas.openxmlformats.org/officeDocument/2006/relationships/hyperlink" Target="https://www.jivi.com.ar/ficha.php?id=938" TargetMode="External"/><Relationship Id="rId368" Type="http://schemas.openxmlformats.org/officeDocument/2006/relationships/hyperlink" Target="https://www.jivi.com.ar/ficha.php?id=1570" TargetMode="External"/><Relationship Id="rId575" Type="http://schemas.openxmlformats.org/officeDocument/2006/relationships/hyperlink" Target="https://www.jivi.com.ar/ficha.php?id=2034" TargetMode="External"/><Relationship Id="rId228" Type="http://schemas.openxmlformats.org/officeDocument/2006/relationships/hyperlink" Target="https://www.jivi.com.ar/ficha.php?id=1378" TargetMode="External"/><Relationship Id="rId435" Type="http://schemas.openxmlformats.org/officeDocument/2006/relationships/hyperlink" Target="https://www.jivi.com.ar/ficha.php?id=1666" TargetMode="External"/><Relationship Id="rId281" Type="http://schemas.openxmlformats.org/officeDocument/2006/relationships/hyperlink" Target="https://www.jivi.com.ar/ficha.php?id=1446" TargetMode="External"/><Relationship Id="rId502" Type="http://schemas.openxmlformats.org/officeDocument/2006/relationships/hyperlink" Target="https://www.jivi.com.ar/ficha.php?id=1319" TargetMode="External"/><Relationship Id="rId76" Type="http://schemas.openxmlformats.org/officeDocument/2006/relationships/hyperlink" Target="https://www.jivi.com.ar/ficha.php?id=142" TargetMode="External"/><Relationship Id="rId141" Type="http://schemas.openxmlformats.org/officeDocument/2006/relationships/hyperlink" Target="https://www.jivi.com.ar/ficha.php?id=250" TargetMode="External"/><Relationship Id="rId379" Type="http://schemas.openxmlformats.org/officeDocument/2006/relationships/hyperlink" Target="https://www.jivi.com.ar/ficha.php?id=1576" TargetMode="External"/><Relationship Id="rId586" Type="http://schemas.openxmlformats.org/officeDocument/2006/relationships/hyperlink" Target="https://www.jivi.com.ar/ficha.php?id=1256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1394" TargetMode="External"/><Relationship Id="rId446" Type="http://schemas.openxmlformats.org/officeDocument/2006/relationships/hyperlink" Target="https://www.jivi.com.ar/ficha.php?id=1698" TargetMode="External"/><Relationship Id="rId292" Type="http://schemas.openxmlformats.org/officeDocument/2006/relationships/hyperlink" Target="https://www.jivi.com.ar/ficha.php?id=1466" TargetMode="External"/><Relationship Id="rId306" Type="http://schemas.openxmlformats.org/officeDocument/2006/relationships/hyperlink" Target="https://www.jivi.com.ar/ficha.php?id=1486" TargetMode="External"/><Relationship Id="rId87" Type="http://schemas.openxmlformats.org/officeDocument/2006/relationships/hyperlink" Target="https://www.jivi.com.ar/ficha.php?id=169" TargetMode="External"/><Relationship Id="rId513" Type="http://schemas.openxmlformats.org/officeDocument/2006/relationships/hyperlink" Target="https://www.jivi.com.ar/ficha.php?id=1453" TargetMode="External"/><Relationship Id="rId597" Type="http://schemas.openxmlformats.org/officeDocument/2006/relationships/hyperlink" Target="https://www.jivi.com.ar/ficha.php?id=2059" TargetMode="External"/><Relationship Id="rId152" Type="http://schemas.openxmlformats.org/officeDocument/2006/relationships/hyperlink" Target="https://www.jivi.com.ar/ficha.php?id=1079" TargetMode="External"/><Relationship Id="rId457" Type="http://schemas.openxmlformats.org/officeDocument/2006/relationships/hyperlink" Target="https://www.jivi.com.ar/ficha.php?id=1708" TargetMode="External"/><Relationship Id="rId14" Type="http://schemas.openxmlformats.org/officeDocument/2006/relationships/hyperlink" Target="https://www.jivi.com.ar/ficha.php?id=92" TargetMode="External"/><Relationship Id="rId317" Type="http://schemas.openxmlformats.org/officeDocument/2006/relationships/hyperlink" Target="https://www.jivi.com.ar/ficha.php?id=1502" TargetMode="External"/><Relationship Id="rId524" Type="http://schemas.openxmlformats.org/officeDocument/2006/relationships/hyperlink" Target="https://www.jivi.com.ar/ficha.php?id=1594" TargetMode="External"/><Relationship Id="rId98" Type="http://schemas.openxmlformats.org/officeDocument/2006/relationships/hyperlink" Target="https://www.jivi.com.ar/ficha.php?id=472" TargetMode="External"/><Relationship Id="rId163" Type="http://schemas.openxmlformats.org/officeDocument/2006/relationships/hyperlink" Target="https://www.jivi.com.ar/ficha.php?id=1120" TargetMode="External"/><Relationship Id="rId370" Type="http://schemas.openxmlformats.org/officeDocument/2006/relationships/hyperlink" Target="https://www.jivi.com.ar/ficha.php?id=1518" TargetMode="External"/><Relationship Id="rId230" Type="http://schemas.openxmlformats.org/officeDocument/2006/relationships/hyperlink" Target="https://www.jivi.com.ar/ficha.php?id=1383" TargetMode="External"/><Relationship Id="rId468" Type="http://schemas.openxmlformats.org/officeDocument/2006/relationships/hyperlink" Target="https://www.jivi.com.ar/ficha.php?id=1734" TargetMode="External"/><Relationship Id="rId25" Type="http://schemas.openxmlformats.org/officeDocument/2006/relationships/hyperlink" Target="https://www.jivi.com.ar/ficha.php?id=105" TargetMode="External"/><Relationship Id="rId328" Type="http://schemas.openxmlformats.org/officeDocument/2006/relationships/hyperlink" Target="https://www.jivi.com.ar/ficha.php?id=1523" TargetMode="External"/><Relationship Id="rId535" Type="http://schemas.openxmlformats.org/officeDocument/2006/relationships/hyperlink" Target="https://www.jivi.com.ar/ficha.php?id=1055" TargetMode="External"/><Relationship Id="rId174" Type="http://schemas.openxmlformats.org/officeDocument/2006/relationships/hyperlink" Target="https://www.jivi.com.ar/ficha.php?id=915" TargetMode="External"/><Relationship Id="rId381" Type="http://schemas.openxmlformats.org/officeDocument/2006/relationships/hyperlink" Target="https://www.jivi.com.ar/ficha.php?id=1581" TargetMode="External"/><Relationship Id="rId602" Type="http://schemas.openxmlformats.org/officeDocument/2006/relationships/hyperlink" Target="https://www.jivi.com.ar/ficha.php?id=1364" TargetMode="External"/><Relationship Id="rId241" Type="http://schemas.openxmlformats.org/officeDocument/2006/relationships/hyperlink" Target="https://www.jivi.com.ar/ficha.php?id=1399" TargetMode="External"/><Relationship Id="rId479" Type="http://schemas.openxmlformats.org/officeDocument/2006/relationships/hyperlink" Target="https://www.jivi.com.ar/ficha.php?id=1749" TargetMode="External"/><Relationship Id="rId36" Type="http://schemas.openxmlformats.org/officeDocument/2006/relationships/hyperlink" Target="https://www.jivi.com.ar/ficha.php?id=116" TargetMode="External"/><Relationship Id="rId339" Type="http://schemas.openxmlformats.org/officeDocument/2006/relationships/hyperlink" Target="https://www.jivi.com.ar/ficha.php?id=1545" TargetMode="External"/><Relationship Id="rId546" Type="http://schemas.openxmlformats.org/officeDocument/2006/relationships/hyperlink" Target="https://www.jivi.com.ar/ficha.php?id=1911" TargetMode="External"/><Relationship Id="rId101" Type="http://schemas.openxmlformats.org/officeDocument/2006/relationships/hyperlink" Target="https://www.jivi.com.ar/ficha.php?id=252" TargetMode="External"/><Relationship Id="rId185" Type="http://schemas.openxmlformats.org/officeDocument/2006/relationships/hyperlink" Target="https://www.jivi.com.ar/ficha.php?id=1222" TargetMode="External"/><Relationship Id="rId406" Type="http://schemas.openxmlformats.org/officeDocument/2006/relationships/hyperlink" Target="https://www.jivi.com.ar/ficha.php?id=1609" TargetMode="External"/><Relationship Id="rId392" Type="http://schemas.openxmlformats.org/officeDocument/2006/relationships/hyperlink" Target="https://www.jivi.com.ar/ficha.php?id=1593" TargetMode="External"/><Relationship Id="rId613" Type="http://schemas.openxmlformats.org/officeDocument/2006/relationships/hyperlink" Target="https://www.jivi.com.ar/ficha.php?id=2085" TargetMode="External"/><Relationship Id="rId252" Type="http://schemas.openxmlformats.org/officeDocument/2006/relationships/hyperlink" Target="https://www.jivi.com.ar/ficha.php?id=1393" TargetMode="External"/><Relationship Id="rId294" Type="http://schemas.openxmlformats.org/officeDocument/2006/relationships/hyperlink" Target="https://www.jivi.com.ar/ficha.php?id=1470" TargetMode="External"/><Relationship Id="rId308" Type="http://schemas.openxmlformats.org/officeDocument/2006/relationships/hyperlink" Target="https://www.jivi.com.ar/ficha.php?id=1492" TargetMode="External"/><Relationship Id="rId515" Type="http://schemas.openxmlformats.org/officeDocument/2006/relationships/hyperlink" Target="https://www.jivi.com.ar/ficha.php?id=1131" TargetMode="External"/><Relationship Id="rId47" Type="http://schemas.openxmlformats.org/officeDocument/2006/relationships/hyperlink" Target="https://www.jivi.com.ar/ficha.php?id=405" TargetMode="External"/><Relationship Id="rId89" Type="http://schemas.openxmlformats.org/officeDocument/2006/relationships/hyperlink" Target="https://www.jivi.com.ar/ficha.php?id=158" TargetMode="External"/><Relationship Id="rId112" Type="http://schemas.openxmlformats.org/officeDocument/2006/relationships/hyperlink" Target="https://www.jivi.com.ar/ficha.php?id=51" TargetMode="External"/><Relationship Id="rId154" Type="http://schemas.openxmlformats.org/officeDocument/2006/relationships/hyperlink" Target="https://www.jivi.com.ar/ficha.php?id=1094" TargetMode="External"/><Relationship Id="rId361" Type="http://schemas.openxmlformats.org/officeDocument/2006/relationships/hyperlink" Target="https://www.jivi.com.ar/ficha.php?id=1409" TargetMode="External"/><Relationship Id="rId557" Type="http://schemas.openxmlformats.org/officeDocument/2006/relationships/hyperlink" Target="https://www.jivi.com.ar/ficha.php?id=1577" TargetMode="External"/><Relationship Id="rId599" Type="http://schemas.openxmlformats.org/officeDocument/2006/relationships/hyperlink" Target="https://www.jivi.com.ar/ficha.php?id=2061" TargetMode="External"/><Relationship Id="rId196" Type="http://schemas.openxmlformats.org/officeDocument/2006/relationships/hyperlink" Target="https://jivi.com.ar/ficha.php?id=89" TargetMode="External"/><Relationship Id="rId417" Type="http://schemas.openxmlformats.org/officeDocument/2006/relationships/hyperlink" Target="https://www.jivi.com.ar/ficha.php?id=1620" TargetMode="External"/><Relationship Id="rId459" Type="http://schemas.openxmlformats.org/officeDocument/2006/relationships/hyperlink" Target="https://www.jivi.com.ar/ficha.php?id=1722" TargetMode="External"/><Relationship Id="rId624" Type="http://schemas.openxmlformats.org/officeDocument/2006/relationships/hyperlink" Target="https://www.jivi.com.ar/ficha.php?id=2147" TargetMode="External"/><Relationship Id="rId16" Type="http://schemas.openxmlformats.org/officeDocument/2006/relationships/hyperlink" Target="https://www.jivi.com.ar/ficha.php?id=96" TargetMode="External"/><Relationship Id="rId221" Type="http://schemas.openxmlformats.org/officeDocument/2006/relationships/hyperlink" Target="https://www.jivi.com.ar/ficha.php?id=1359" TargetMode="External"/><Relationship Id="rId263" Type="http://schemas.openxmlformats.org/officeDocument/2006/relationships/hyperlink" Target="https://www.jivi.com.ar/ficha.php?id=1421" TargetMode="External"/><Relationship Id="rId319" Type="http://schemas.openxmlformats.org/officeDocument/2006/relationships/hyperlink" Target="https://www.jivi.com.ar/ficha.php?id=1505" TargetMode="External"/><Relationship Id="rId470" Type="http://schemas.openxmlformats.org/officeDocument/2006/relationships/hyperlink" Target="https://www.jivi.com.ar/ficha.php?id=1740" TargetMode="External"/><Relationship Id="rId526" Type="http://schemas.openxmlformats.org/officeDocument/2006/relationships/hyperlink" Target="https://www.jivi.com.ar/ficha.php?id=1799" TargetMode="External"/><Relationship Id="rId58" Type="http://schemas.openxmlformats.org/officeDocument/2006/relationships/hyperlink" Target="https://www.jivi.com.ar/ficha.php?id=124" TargetMode="External"/><Relationship Id="rId123" Type="http://schemas.openxmlformats.org/officeDocument/2006/relationships/hyperlink" Target="https://www.jivi.com.ar/ficha.php?id=888" TargetMode="External"/><Relationship Id="rId330" Type="http://schemas.openxmlformats.org/officeDocument/2006/relationships/hyperlink" Target="https://www.jivi.com.ar/ficha.php?id=1527" TargetMode="External"/><Relationship Id="rId568" Type="http://schemas.openxmlformats.org/officeDocument/2006/relationships/hyperlink" Target="https://www.jivi.com.ar/ficha.php?id=2014" TargetMode="External"/><Relationship Id="rId165" Type="http://schemas.openxmlformats.org/officeDocument/2006/relationships/hyperlink" Target="https://www.jivi.com.ar/ficha.php?id=1157" TargetMode="External"/><Relationship Id="rId372" Type="http://schemas.openxmlformats.org/officeDocument/2006/relationships/hyperlink" Target="https://www.jivi.com.ar/ficha.php?id=1573" TargetMode="External"/><Relationship Id="rId428" Type="http://schemas.openxmlformats.org/officeDocument/2006/relationships/hyperlink" Target="https://www.jivi.com.ar/ficha.php?id=1637" TargetMode="External"/><Relationship Id="rId635" Type="http://schemas.openxmlformats.org/officeDocument/2006/relationships/hyperlink" Target="https://www.jivi.com.ar/ficha.php?id=2203" TargetMode="External"/><Relationship Id="rId232" Type="http://schemas.openxmlformats.org/officeDocument/2006/relationships/hyperlink" Target="https://www.jivi.com.ar/ficha.php?id=1428" TargetMode="External"/><Relationship Id="rId274" Type="http://schemas.openxmlformats.org/officeDocument/2006/relationships/hyperlink" Target="https://www.jivi.com.ar/ficha.php?id=1439" TargetMode="External"/><Relationship Id="rId481" Type="http://schemas.openxmlformats.org/officeDocument/2006/relationships/hyperlink" Target="https://www.jivi.com.ar/ficha.php?id=1750" TargetMode="External"/><Relationship Id="rId27" Type="http://schemas.openxmlformats.org/officeDocument/2006/relationships/hyperlink" Target="https://www.jivi.com.ar/ficha.php?id=107" TargetMode="External"/><Relationship Id="rId69" Type="http://schemas.openxmlformats.org/officeDocument/2006/relationships/hyperlink" Target="https://www.jivi.com.ar/ficha.php?id=719" TargetMode="External"/><Relationship Id="rId134" Type="http://schemas.openxmlformats.org/officeDocument/2006/relationships/hyperlink" Target="https://www.jivi.com.ar/ficha.php?id=955" TargetMode="External"/><Relationship Id="rId537" Type="http://schemas.openxmlformats.org/officeDocument/2006/relationships/hyperlink" Target="https://www.jivi.com.ar/ficha.php?id=1739" TargetMode="External"/><Relationship Id="rId579" Type="http://schemas.openxmlformats.org/officeDocument/2006/relationships/hyperlink" Target="https://www.jivi.com.ar/ficha.php?id=2042" TargetMode="External"/><Relationship Id="rId80" Type="http://schemas.openxmlformats.org/officeDocument/2006/relationships/hyperlink" Target="https://www.jivi.com.ar/ficha.php?id=136" TargetMode="External"/><Relationship Id="rId176" Type="http://schemas.openxmlformats.org/officeDocument/2006/relationships/hyperlink" Target="https://www.jivi.com.ar/ficha.php?id=1183" TargetMode="External"/><Relationship Id="rId341" Type="http://schemas.openxmlformats.org/officeDocument/2006/relationships/hyperlink" Target="https://www.jivi.com.ar/ficha.php?id=981" TargetMode="External"/><Relationship Id="rId383" Type="http://schemas.openxmlformats.org/officeDocument/2006/relationships/hyperlink" Target="https://www.jivi.com.ar/ficha.php?id=1584" TargetMode="External"/><Relationship Id="rId439" Type="http://schemas.openxmlformats.org/officeDocument/2006/relationships/hyperlink" Target="https://www.jivi.com.ar/ficha.php?id=1687" TargetMode="External"/><Relationship Id="rId590" Type="http://schemas.openxmlformats.org/officeDocument/2006/relationships/hyperlink" Target="https://www.jivi.com.ar/ficha.php?id=1416" TargetMode="External"/><Relationship Id="rId604" Type="http://schemas.openxmlformats.org/officeDocument/2006/relationships/hyperlink" Target="https://www.jivi.com.ar/ficha.php?id=2066" TargetMode="External"/><Relationship Id="rId201" Type="http://schemas.openxmlformats.org/officeDocument/2006/relationships/hyperlink" Target="https://www.jivi.com.ar/ficha.php?id=1267" TargetMode="External"/><Relationship Id="rId243" Type="http://schemas.openxmlformats.org/officeDocument/2006/relationships/hyperlink" Target="https://www.jivi.com.ar/ficha.php?id=1400" TargetMode="External"/><Relationship Id="rId285" Type="http://schemas.openxmlformats.org/officeDocument/2006/relationships/hyperlink" Target="https://www.jivi.com.ar/ficha.php?id=1560" TargetMode="External"/><Relationship Id="rId450" Type="http://schemas.openxmlformats.org/officeDocument/2006/relationships/hyperlink" Target="https://www.jivi.com.ar/ficha.php?id=1531" TargetMode="External"/><Relationship Id="rId506" Type="http://schemas.openxmlformats.org/officeDocument/2006/relationships/hyperlink" Target="https://www.jivi.com.ar/ficha.php?id=1128" TargetMode="External"/><Relationship Id="rId38" Type="http://schemas.openxmlformats.org/officeDocument/2006/relationships/hyperlink" Target="https://www.jivi.com.ar/ficha.php?id=399" TargetMode="External"/><Relationship Id="rId103" Type="http://schemas.openxmlformats.org/officeDocument/2006/relationships/hyperlink" Target="https://www.jivi.com.ar/ficha.php?id=220" TargetMode="External"/><Relationship Id="rId310" Type="http://schemas.openxmlformats.org/officeDocument/2006/relationships/hyperlink" Target="https://www.jivi.com.ar/ficha.php?id=1494" TargetMode="External"/><Relationship Id="rId492" Type="http://schemas.openxmlformats.org/officeDocument/2006/relationships/hyperlink" Target="https://www.jivi.com.ar/ficha.php?id=1736" TargetMode="External"/><Relationship Id="rId548" Type="http://schemas.openxmlformats.org/officeDocument/2006/relationships/hyperlink" Target="https://www.jivi.com.ar/ficha.php?id=1912" TargetMode="External"/><Relationship Id="rId91" Type="http://schemas.openxmlformats.org/officeDocument/2006/relationships/hyperlink" Target="https://www.jivi.com.ar/ficha.php?id=622" TargetMode="External"/><Relationship Id="rId145" Type="http://schemas.openxmlformats.org/officeDocument/2006/relationships/hyperlink" Target="https://www.jivi.com.ar/ficha.php?id=647" TargetMode="External"/><Relationship Id="rId187" Type="http://schemas.openxmlformats.org/officeDocument/2006/relationships/hyperlink" Target="https://www.jivi.com.ar/ficha.php?id=904" TargetMode="External"/><Relationship Id="rId352" Type="http://schemas.openxmlformats.org/officeDocument/2006/relationships/hyperlink" Target="https://www.jivi.com.ar/ficha.php?id=518" TargetMode="External"/><Relationship Id="rId394" Type="http://schemas.openxmlformats.org/officeDocument/2006/relationships/hyperlink" Target="https://www.jivi.com.ar/ficha.php?id=1596" TargetMode="External"/><Relationship Id="rId408" Type="http://schemas.openxmlformats.org/officeDocument/2006/relationships/hyperlink" Target="https://www.jivi.com.ar/ficha.php?id=1610" TargetMode="External"/><Relationship Id="rId615" Type="http://schemas.openxmlformats.org/officeDocument/2006/relationships/hyperlink" Target="https://www.jivi.com.ar/ficha.php?id=333" TargetMode="External"/><Relationship Id="rId212" Type="http://schemas.openxmlformats.org/officeDocument/2006/relationships/hyperlink" Target="https://www.jivi.com.ar/ficha.php?id=1290" TargetMode="External"/><Relationship Id="rId254" Type="http://schemas.openxmlformats.org/officeDocument/2006/relationships/hyperlink" Target="https://www.jivi.com.ar/ficha.php?id=1413" TargetMode="External"/><Relationship Id="rId49" Type="http://schemas.openxmlformats.org/officeDocument/2006/relationships/hyperlink" Target="https://www.jivi.com.ar/ficha.php?id=407" TargetMode="External"/><Relationship Id="rId114" Type="http://schemas.openxmlformats.org/officeDocument/2006/relationships/hyperlink" Target="https://www.jivi.com.ar/ficha.php?id=809" TargetMode="External"/><Relationship Id="rId296" Type="http://schemas.openxmlformats.org/officeDocument/2006/relationships/hyperlink" Target="https://www.jivi.com.ar/ficha.php?id=1472" TargetMode="External"/><Relationship Id="rId461" Type="http://schemas.openxmlformats.org/officeDocument/2006/relationships/hyperlink" Target="https://www.jivi.com.ar/ficha.php?id=1725" TargetMode="External"/><Relationship Id="rId517" Type="http://schemas.openxmlformats.org/officeDocument/2006/relationships/hyperlink" Target="https://www.jivi.com.ar/ficha.php?id=1820" TargetMode="External"/><Relationship Id="rId559" Type="http://schemas.openxmlformats.org/officeDocument/2006/relationships/hyperlink" Target="https://www.jivi.com.ar/ficha.php?id=2003" TargetMode="External"/><Relationship Id="rId60" Type="http://schemas.openxmlformats.org/officeDocument/2006/relationships/hyperlink" Target="https://www.jivi.com.ar/ficha.php?id=187" TargetMode="External"/><Relationship Id="rId156" Type="http://schemas.openxmlformats.org/officeDocument/2006/relationships/hyperlink" Target="https://www.jivi.com.ar/ficha.php?id=1097" TargetMode="External"/><Relationship Id="rId198" Type="http://schemas.openxmlformats.org/officeDocument/2006/relationships/hyperlink" Target="https://www.jivi.com.ar/ficha.php?id=1253" TargetMode="External"/><Relationship Id="rId321" Type="http://schemas.openxmlformats.org/officeDocument/2006/relationships/hyperlink" Target="https://www.jivi.com.ar/ficha.php?id=1507" TargetMode="External"/><Relationship Id="rId363" Type="http://schemas.openxmlformats.org/officeDocument/2006/relationships/hyperlink" Target="https://www.jivi.com.ar/ficha.php?id=1564" TargetMode="External"/><Relationship Id="rId419" Type="http://schemas.openxmlformats.org/officeDocument/2006/relationships/hyperlink" Target="https://www.jivi.com.ar/ficha.php?id=1621" TargetMode="External"/><Relationship Id="rId570" Type="http://schemas.openxmlformats.org/officeDocument/2006/relationships/hyperlink" Target="https://www.jivi.com.ar/ficha.php?id=2018" TargetMode="External"/><Relationship Id="rId626" Type="http://schemas.openxmlformats.org/officeDocument/2006/relationships/hyperlink" Target="https://www.jivi.com.ar/ficha.php?id=1403" TargetMode="External"/><Relationship Id="rId223" Type="http://schemas.openxmlformats.org/officeDocument/2006/relationships/hyperlink" Target="https://www.jivi.com.ar/ficha.php?id=1365" TargetMode="External"/><Relationship Id="rId430" Type="http://schemas.openxmlformats.org/officeDocument/2006/relationships/hyperlink" Target="https://www.jivi.com.ar/ficha.php?id=1640" TargetMode="External"/><Relationship Id="rId18" Type="http://schemas.openxmlformats.org/officeDocument/2006/relationships/hyperlink" Target="https://www.jivi.com.ar/ficha.php?id=98" TargetMode="External"/><Relationship Id="rId265" Type="http://schemas.openxmlformats.org/officeDocument/2006/relationships/hyperlink" Target="https://www.jivi.com.ar/ficha.php?id=1423" TargetMode="External"/><Relationship Id="rId472" Type="http://schemas.openxmlformats.org/officeDocument/2006/relationships/hyperlink" Target="https://www.jivi.com.ar/ficha.php?id=1575" TargetMode="External"/><Relationship Id="rId528" Type="http://schemas.openxmlformats.org/officeDocument/2006/relationships/hyperlink" Target="https://www.jivi.com.ar/ficha.php?id=666" TargetMode="External"/><Relationship Id="rId125" Type="http://schemas.openxmlformats.org/officeDocument/2006/relationships/hyperlink" Target="https://www.jivi.com.ar/ficha.php?id=903" TargetMode="External"/><Relationship Id="rId167" Type="http://schemas.openxmlformats.org/officeDocument/2006/relationships/hyperlink" Target="hhttps://www.jivi.com.ar/ficha.php?id=1155" TargetMode="External"/><Relationship Id="rId332" Type="http://schemas.openxmlformats.org/officeDocument/2006/relationships/hyperlink" Target="https://www.jivi.com.ar/ficha.php?id=1534" TargetMode="External"/><Relationship Id="rId374" Type="http://schemas.openxmlformats.org/officeDocument/2006/relationships/hyperlink" Target="https://www.jivi.com.ar/ficha.php?id=1271" TargetMode="External"/><Relationship Id="rId581" Type="http://schemas.openxmlformats.org/officeDocument/2006/relationships/hyperlink" Target="https://www.jivi.com.ar/ficha.php?id=249" TargetMode="External"/><Relationship Id="rId71" Type="http://schemas.openxmlformats.org/officeDocument/2006/relationships/hyperlink" Target="https://www.jivi.com.ar/ficha.php?id=134" TargetMode="External"/><Relationship Id="rId234" Type="http://schemas.openxmlformats.org/officeDocument/2006/relationships/hyperlink" Target="https://www.jivi.com.ar/ficha.php?id=1387" TargetMode="External"/><Relationship Id="rId637" Type="http://schemas.openxmlformats.org/officeDocument/2006/relationships/printerSettings" Target="../printerSettings/printerSettings1.bin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09" TargetMode="External"/><Relationship Id="rId276" Type="http://schemas.openxmlformats.org/officeDocument/2006/relationships/hyperlink" Target="https://www.jivi.com.ar/ficha.php?id=1427" TargetMode="External"/><Relationship Id="rId441" Type="http://schemas.openxmlformats.org/officeDocument/2006/relationships/hyperlink" Target="https://www.jivi.com.ar/ficha.php?id=1690" TargetMode="External"/><Relationship Id="rId483" Type="http://schemas.openxmlformats.org/officeDocument/2006/relationships/hyperlink" Target="https://www.jivi.com.ar/ficha.php?id=1461" TargetMode="External"/><Relationship Id="rId539" Type="http://schemas.openxmlformats.org/officeDocument/2006/relationships/hyperlink" Target="https://www.jivi.com.ar/ficha.php?id=1379" TargetMode="External"/><Relationship Id="rId40" Type="http://schemas.openxmlformats.org/officeDocument/2006/relationships/hyperlink" Target="https://www.jivi.com.ar/ficha.php?id=401" TargetMode="External"/><Relationship Id="rId136" Type="http://schemas.openxmlformats.org/officeDocument/2006/relationships/hyperlink" Target="https://www.jivi.com.ar/ficha.php?id=957" TargetMode="External"/><Relationship Id="rId178" Type="http://schemas.openxmlformats.org/officeDocument/2006/relationships/hyperlink" Target="https://www.jivi.com.ar/ficha.php?id=349" TargetMode="External"/><Relationship Id="rId301" Type="http://schemas.openxmlformats.org/officeDocument/2006/relationships/hyperlink" Target="https://www.jivi.com.ar/ficha.php?id=1478" TargetMode="External"/><Relationship Id="rId343" Type="http://schemas.openxmlformats.org/officeDocument/2006/relationships/hyperlink" Target="https://www.jivi.com.ar/ficha.php?id=1549" TargetMode="External"/><Relationship Id="rId550" Type="http://schemas.openxmlformats.org/officeDocument/2006/relationships/hyperlink" Target="https://www.jivi.com.ar/ficha.php?id=1880" TargetMode="External"/><Relationship Id="rId82" Type="http://schemas.openxmlformats.org/officeDocument/2006/relationships/hyperlink" Target="https://www.jivi.com.ar/ficha.php?id=138" TargetMode="External"/><Relationship Id="rId203" Type="http://schemas.openxmlformats.org/officeDocument/2006/relationships/hyperlink" Target="https://www.jivi.com.ar/ficha.php?id=1277" TargetMode="External"/><Relationship Id="rId385" Type="http://schemas.openxmlformats.org/officeDocument/2006/relationships/hyperlink" Target="https://www.jivi.com.ar/ficha.php?id=1587" TargetMode="External"/><Relationship Id="rId592" Type="http://schemas.openxmlformats.org/officeDocument/2006/relationships/hyperlink" Target="https://www.jivi.com.ar/ficha.php?id=2052" TargetMode="External"/><Relationship Id="rId606" Type="http://schemas.openxmlformats.org/officeDocument/2006/relationships/hyperlink" Target="https://www.jivi.com.ar/ficha.php?id=2068" TargetMode="External"/><Relationship Id="rId245" Type="http://schemas.openxmlformats.org/officeDocument/2006/relationships/hyperlink" Target="https://www.jivi.com.ar/ficha.php?id=1392" TargetMode="External"/><Relationship Id="rId287" Type="http://schemas.openxmlformats.org/officeDocument/2006/relationships/hyperlink" Target="https://www.jivi.com.ar/ficha.php?id=1063" TargetMode="External"/><Relationship Id="rId410" Type="http://schemas.openxmlformats.org/officeDocument/2006/relationships/hyperlink" Target="https://www.jivi.com.ar/ficha.php?id=1612" TargetMode="External"/><Relationship Id="rId452" Type="http://schemas.openxmlformats.org/officeDocument/2006/relationships/hyperlink" Target="https://www.jivi.com.ar/ficha.php?id=1704" TargetMode="External"/><Relationship Id="rId494" Type="http://schemas.openxmlformats.org/officeDocument/2006/relationships/hyperlink" Target="https://www.jivi.com.ar/ficha.php?id=1781" TargetMode="External"/><Relationship Id="rId508" Type="http://schemas.openxmlformats.org/officeDocument/2006/relationships/hyperlink" Target="https://www.jivi.com.ar/ficha.php?id=1804" TargetMode="External"/><Relationship Id="rId105" Type="http://schemas.openxmlformats.org/officeDocument/2006/relationships/hyperlink" Target="https://www.jivi.com.ar/ficha.php?id=398" TargetMode="External"/><Relationship Id="rId147" Type="http://schemas.openxmlformats.org/officeDocument/2006/relationships/hyperlink" Target="https://www.jivi.com.ar/ficha.php?id=1059" TargetMode="External"/><Relationship Id="rId312" Type="http://schemas.openxmlformats.org/officeDocument/2006/relationships/hyperlink" Target="https://www.jivi.com.ar/ficha.php?id=1496" TargetMode="External"/><Relationship Id="rId354" Type="http://schemas.openxmlformats.org/officeDocument/2006/relationships/hyperlink" Target="https://www.jivi.com.ar/ficha.php?id=26" TargetMode="External"/><Relationship Id="rId51" Type="http://schemas.openxmlformats.org/officeDocument/2006/relationships/hyperlink" Target="https://www.jivi.com.ar/ficha.php?id=409" TargetMode="External"/><Relationship Id="rId93" Type="http://schemas.openxmlformats.org/officeDocument/2006/relationships/hyperlink" Target="https://www.jivi.com.ar/ficha.php?id=246" TargetMode="External"/><Relationship Id="rId189" Type="http://schemas.openxmlformats.org/officeDocument/2006/relationships/hyperlink" Target="https://www.jivi.com.ar/ficha.php?id=1225" TargetMode="External"/><Relationship Id="rId396" Type="http://schemas.openxmlformats.org/officeDocument/2006/relationships/hyperlink" Target="https://www.jivi.com.ar/ficha.php?id=1599" TargetMode="External"/><Relationship Id="rId561" Type="http://schemas.openxmlformats.org/officeDocument/2006/relationships/hyperlink" Target="https://www.jivi.com.ar/ficha.php?id=1258" TargetMode="External"/><Relationship Id="rId617" Type="http://schemas.openxmlformats.org/officeDocument/2006/relationships/hyperlink" Target="https://www.jivi.com.ar/ficha.php?id=1786" TargetMode="External"/><Relationship Id="rId214" Type="http://schemas.openxmlformats.org/officeDocument/2006/relationships/hyperlink" Target="https://www.jivi.com.ar/ficha.php?id=1314" TargetMode="External"/><Relationship Id="rId256" Type="http://schemas.openxmlformats.org/officeDocument/2006/relationships/hyperlink" Target="https://www.jivi.com.ar/ficha.php?id=1356" TargetMode="External"/><Relationship Id="rId298" Type="http://schemas.openxmlformats.org/officeDocument/2006/relationships/hyperlink" Target="https://www.jivi.com.ar/ficha.php?id=995" TargetMode="External"/><Relationship Id="rId421" Type="http://schemas.openxmlformats.org/officeDocument/2006/relationships/hyperlink" Target="https://www.jivi.com.ar/ficha.php?id=1635" TargetMode="External"/><Relationship Id="rId463" Type="http://schemas.openxmlformats.org/officeDocument/2006/relationships/hyperlink" Target="https://www.jivi.com.ar/ficha.php?id=1728" TargetMode="External"/><Relationship Id="rId519" Type="http://schemas.openxmlformats.org/officeDocument/2006/relationships/hyperlink" Target="https://www.jivi.com.ar/ficha.php?id=1533" TargetMode="External"/><Relationship Id="rId116" Type="http://schemas.openxmlformats.org/officeDocument/2006/relationships/hyperlink" Target="https://www.jivi.com.ar/ficha.php?id=708" TargetMode="External"/><Relationship Id="rId158" Type="http://schemas.openxmlformats.org/officeDocument/2006/relationships/hyperlink" Target="https://www.jivi.com.ar/ficha.php?id=885" TargetMode="External"/><Relationship Id="rId323" Type="http://schemas.openxmlformats.org/officeDocument/2006/relationships/hyperlink" Target="https://www.jivi.com.ar/ficha.php?id=1509" TargetMode="External"/><Relationship Id="rId530" Type="http://schemas.openxmlformats.org/officeDocument/2006/relationships/hyperlink" Target="https://www.jivi.com.ar/ficha.php?id=1847" TargetMode="External"/><Relationship Id="rId20" Type="http://schemas.openxmlformats.org/officeDocument/2006/relationships/hyperlink" Target="https://www.jivi.com.ar/ficha.php?id=100" TargetMode="External"/><Relationship Id="rId62" Type="http://schemas.openxmlformats.org/officeDocument/2006/relationships/hyperlink" Target="https://www.jivi.com.ar/ficha.php?id=55" TargetMode="External"/><Relationship Id="rId365" Type="http://schemas.openxmlformats.org/officeDocument/2006/relationships/hyperlink" Target="https://www.jivi.com.ar/ficha.php?id=1567" TargetMode="External"/><Relationship Id="rId572" Type="http://schemas.openxmlformats.org/officeDocument/2006/relationships/hyperlink" Target="https://www.jivi.com.ar/ficha.php?id=2026" TargetMode="External"/><Relationship Id="rId628" Type="http://schemas.openxmlformats.org/officeDocument/2006/relationships/hyperlink" Target="https://www.jivi.com.ar/ficha.php?id=2170" TargetMode="External"/><Relationship Id="rId225" Type="http://schemas.openxmlformats.org/officeDocument/2006/relationships/hyperlink" Target="https://www.jivi.com.ar/registro.php" TargetMode="External"/><Relationship Id="rId267" Type="http://schemas.openxmlformats.org/officeDocument/2006/relationships/hyperlink" Target="https://www.jivi.com.ar/ficha.php?id=1426" TargetMode="External"/><Relationship Id="rId432" Type="http://schemas.openxmlformats.org/officeDocument/2006/relationships/hyperlink" Target="https://www.jivi.com.ar/ficha.php?id=1660" TargetMode="External"/><Relationship Id="rId474" Type="http://schemas.openxmlformats.org/officeDocument/2006/relationships/hyperlink" Target="https://www.jivi.com.ar/ficha.php?id=1744" TargetMode="External"/><Relationship Id="rId127" Type="http://schemas.openxmlformats.org/officeDocument/2006/relationships/hyperlink" Target="https://www.jivi.com.ar/ficha.php?id=916" TargetMode="External"/><Relationship Id="rId31" Type="http://schemas.openxmlformats.org/officeDocument/2006/relationships/hyperlink" Target="https://www.jivi.com.ar/ficha.php?id=111" TargetMode="External"/><Relationship Id="rId73" Type="http://schemas.openxmlformats.org/officeDocument/2006/relationships/hyperlink" Target="https://www.jivi.com.ar/ficha.php?id=145" TargetMode="External"/><Relationship Id="rId169" Type="http://schemas.openxmlformats.org/officeDocument/2006/relationships/hyperlink" Target="https://www.jivi.com.ar/ficha.php?id=1168" TargetMode="External"/><Relationship Id="rId334" Type="http://schemas.openxmlformats.org/officeDocument/2006/relationships/hyperlink" Target="https://www.jivi.com.ar/ficha.php?id=1536" TargetMode="External"/><Relationship Id="rId376" Type="http://schemas.openxmlformats.org/officeDocument/2006/relationships/hyperlink" Target="https://www.jivi.com.ar/ficha.php?id=1139" TargetMode="External"/><Relationship Id="rId541" Type="http://schemas.openxmlformats.org/officeDocument/2006/relationships/hyperlink" Target="https://www.jivi.com.ar/ficha.php?id=1840" TargetMode="External"/><Relationship Id="rId583" Type="http://schemas.openxmlformats.org/officeDocument/2006/relationships/hyperlink" Target="https://www.jivi.com.ar/ficha.php?id=1390" TargetMode="External"/><Relationship Id="rId639" Type="http://schemas.openxmlformats.org/officeDocument/2006/relationships/vmlDrawing" Target="../drawings/vmlDrawing1.vm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1181" TargetMode="External"/><Relationship Id="rId236" Type="http://schemas.openxmlformats.org/officeDocument/2006/relationships/hyperlink" Target="https://www.jivi.com.ar/ficha.php?id=363" TargetMode="External"/><Relationship Id="rId278" Type="http://schemas.openxmlformats.org/officeDocument/2006/relationships/hyperlink" Target="https://www.jivi.com.ar/ficha.php?id=1056" TargetMode="External"/><Relationship Id="rId401" Type="http://schemas.openxmlformats.org/officeDocument/2006/relationships/hyperlink" Target="https://www.jivi.com.ar/ficha.php?id=1606" TargetMode="External"/><Relationship Id="rId443" Type="http://schemas.openxmlformats.org/officeDocument/2006/relationships/hyperlink" Target="https://www.jivi.com.ar/ficha.php?id=1438" TargetMode="External"/><Relationship Id="rId303" Type="http://schemas.openxmlformats.org/officeDocument/2006/relationships/hyperlink" Target="https://www.jivi.com.ar/ficha.php?id=1480" TargetMode="External"/><Relationship Id="rId485" Type="http://schemas.openxmlformats.org/officeDocument/2006/relationships/hyperlink" Target="https://www.jivi.com.ar/ficha.php?id=1310" TargetMode="External"/><Relationship Id="rId42" Type="http://schemas.openxmlformats.org/officeDocument/2006/relationships/hyperlink" Target="https://www.jivi.com.ar/ficha.php?id=403" TargetMode="External"/><Relationship Id="rId84" Type="http://schemas.openxmlformats.org/officeDocument/2006/relationships/hyperlink" Target="https://www.jivi.com.ar/ficha.php?id=166" TargetMode="External"/><Relationship Id="rId138" Type="http://schemas.openxmlformats.org/officeDocument/2006/relationships/hyperlink" Target="https://www.jivi.com.ar/ficha.php?id=973" TargetMode="External"/><Relationship Id="rId345" Type="http://schemas.openxmlformats.org/officeDocument/2006/relationships/hyperlink" Target="https://www.jivi.com.ar/ficha.php?id=1552" TargetMode="External"/><Relationship Id="rId387" Type="http://schemas.openxmlformats.org/officeDocument/2006/relationships/hyperlink" Target="https://www.jivi.com.ar/ficha.php?id=1588" TargetMode="External"/><Relationship Id="rId510" Type="http://schemas.openxmlformats.org/officeDocument/2006/relationships/hyperlink" Target="https://www.jivi.com.ar/ficha.php?id=1342" TargetMode="External"/><Relationship Id="rId552" Type="http://schemas.openxmlformats.org/officeDocument/2006/relationships/hyperlink" Target="https://www.jivi.com.ar/ficha.php?id=1998" TargetMode="External"/><Relationship Id="rId594" Type="http://schemas.openxmlformats.org/officeDocument/2006/relationships/hyperlink" Target="https://www.jivi.com.ar/ficha.php?id=2055" TargetMode="External"/><Relationship Id="rId608" Type="http://schemas.openxmlformats.org/officeDocument/2006/relationships/hyperlink" Target="https://www.jivi.com.ar/ficha.php?id=2069" TargetMode="External"/><Relationship Id="rId191" Type="http://schemas.openxmlformats.org/officeDocument/2006/relationships/hyperlink" Target="https://www.jivi.com.ar/ficha.php?id=919" TargetMode="External"/><Relationship Id="rId205" Type="http://schemas.openxmlformats.org/officeDocument/2006/relationships/hyperlink" Target="https://www.jivi.com.ar/ficha.php?id=378" TargetMode="External"/><Relationship Id="rId247" Type="http://schemas.openxmlformats.org/officeDocument/2006/relationships/hyperlink" Target="https://www.jivi.com.ar/ficha.php?id=1110" TargetMode="External"/><Relationship Id="rId412" Type="http://schemas.openxmlformats.org/officeDocument/2006/relationships/hyperlink" Target="https://www.jivi.com.ar/ficha.php?id=1452" TargetMode="External"/><Relationship Id="rId107" Type="http://schemas.openxmlformats.org/officeDocument/2006/relationships/hyperlink" Target="https://www.jivi.com.ar/ficha.php?id=566" TargetMode="External"/><Relationship Id="rId289" Type="http://schemas.openxmlformats.org/officeDocument/2006/relationships/hyperlink" Target="https://www.jivi.com.ar/ficha.php?id=969" TargetMode="External"/><Relationship Id="rId454" Type="http://schemas.openxmlformats.org/officeDocument/2006/relationships/hyperlink" Target="https://www.jivi.com.ar/ficha.php?id=1457" TargetMode="External"/><Relationship Id="rId496" Type="http://schemas.openxmlformats.org/officeDocument/2006/relationships/hyperlink" Target="https://www.jivi.com.ar/ficha.php?id=1340" TargetMode="External"/><Relationship Id="rId11" Type="http://schemas.openxmlformats.org/officeDocument/2006/relationships/hyperlink" Target="https://www.jivi.com.ar/ficha.php?id=650" TargetMode="External"/><Relationship Id="rId53" Type="http://schemas.openxmlformats.org/officeDocument/2006/relationships/hyperlink" Target="https://www.jivi.com.ar/ficha.php?id=119" TargetMode="External"/><Relationship Id="rId149" Type="http://schemas.openxmlformats.org/officeDocument/2006/relationships/hyperlink" Target="https://www.jivi.com.ar/ficha.php?id=1062" TargetMode="External"/><Relationship Id="rId314" Type="http://schemas.openxmlformats.org/officeDocument/2006/relationships/hyperlink" Target="httphttps://www.jivi.com.ar/ficha.php?id=1498" TargetMode="External"/><Relationship Id="rId356" Type="http://schemas.openxmlformats.org/officeDocument/2006/relationships/hyperlink" Target="https://www.jivi.com.ar/ficha.php?id=1562" TargetMode="External"/><Relationship Id="rId398" Type="http://schemas.openxmlformats.org/officeDocument/2006/relationships/hyperlink" Target="https://www.jivi.com.ar/ficha.php?id=1603" TargetMode="External"/><Relationship Id="rId521" Type="http://schemas.openxmlformats.org/officeDocument/2006/relationships/hyperlink" Target="https://www.jivi.com.ar/ficha.php?id=1825" TargetMode="External"/><Relationship Id="rId563" Type="http://schemas.openxmlformats.org/officeDocument/2006/relationships/hyperlink" Target="https://www.jivi.com.ar/ficha.php?id=1658" TargetMode="External"/><Relationship Id="rId619" Type="http://schemas.openxmlformats.org/officeDocument/2006/relationships/hyperlink" Target="https://www.jivi.com.ar/ficha.php?id=2097" TargetMode="External"/><Relationship Id="rId95" Type="http://schemas.openxmlformats.org/officeDocument/2006/relationships/hyperlink" Target="https://www.jivi.com.ar/ficha.php?id=728" TargetMode="External"/><Relationship Id="rId160" Type="http://schemas.openxmlformats.org/officeDocument/2006/relationships/hyperlink" Target="https://www.jivi.com.ar/ficha.php?id=1108" TargetMode="External"/><Relationship Id="rId216" Type="http://schemas.openxmlformats.org/officeDocument/2006/relationships/hyperlink" Target="https://www.jivi.com.ar/ficha.php?id=1344" TargetMode="External"/><Relationship Id="rId423" Type="http://schemas.openxmlformats.org/officeDocument/2006/relationships/hyperlink" Target="https://www.jivi.com.ar/ficha.php?id=1643" TargetMode="External"/><Relationship Id="rId258" Type="http://schemas.openxmlformats.org/officeDocument/2006/relationships/hyperlink" Target="https://www.jivi.com.ar/ficha.php?id=1353" TargetMode="External"/><Relationship Id="rId465" Type="http://schemas.openxmlformats.org/officeDocument/2006/relationships/hyperlink" Target="https://www.jivi.com.ar/ficha.php?id=1730" TargetMode="External"/><Relationship Id="rId630" Type="http://schemas.openxmlformats.org/officeDocument/2006/relationships/hyperlink" Target="https://www.jivi.com.ar/ficha.php?id=2178" TargetMode="External"/><Relationship Id="rId22" Type="http://schemas.openxmlformats.org/officeDocument/2006/relationships/hyperlink" Target="https://www.jivi.com.ar/ficha.php?id=102" TargetMode="External"/><Relationship Id="rId64" Type="http://schemas.openxmlformats.org/officeDocument/2006/relationships/hyperlink" Target="https://www.jivi.com.ar/ficha.php?id=284" TargetMode="External"/><Relationship Id="rId118" Type="http://schemas.openxmlformats.org/officeDocument/2006/relationships/hyperlink" Target="https://www.jivi.com.ar/ficha.php?id=840" TargetMode="External"/><Relationship Id="rId325" Type="http://schemas.openxmlformats.org/officeDocument/2006/relationships/hyperlink" Target="https://www.jivi.com.ar/ficha.php?id=1515" TargetMode="External"/><Relationship Id="rId367" Type="http://schemas.openxmlformats.org/officeDocument/2006/relationships/hyperlink" Target="https://www.jivi.com.ar/ficha.php?id=1569" TargetMode="External"/><Relationship Id="rId532" Type="http://schemas.openxmlformats.org/officeDocument/2006/relationships/hyperlink" Target="https://www.jivi.com.ar/ficha.php?id=1520" TargetMode="External"/><Relationship Id="rId574" Type="http://schemas.openxmlformats.org/officeDocument/2006/relationships/hyperlink" Target="https://www.jivi.com.ar/ficha.php?id=444" TargetMode="External"/><Relationship Id="rId171" Type="http://schemas.openxmlformats.org/officeDocument/2006/relationships/hyperlink" Target="https://www.jivi.com.ar/ficha.php?id=975" TargetMode="External"/><Relationship Id="rId227" Type="http://schemas.openxmlformats.org/officeDocument/2006/relationships/hyperlink" Target="https://www.jivi.com.ar/ficha.php?id=1372" TargetMode="External"/><Relationship Id="rId269" Type="http://schemas.openxmlformats.org/officeDocument/2006/relationships/hyperlink" Target="https://www.jivi.com.ar/ficha.php?id=1431" TargetMode="External"/><Relationship Id="rId434" Type="http://schemas.openxmlformats.org/officeDocument/2006/relationships/hyperlink" Target="https://www.jivi.com.ar/ficha.php?id=1664" TargetMode="External"/><Relationship Id="rId476" Type="http://schemas.openxmlformats.org/officeDocument/2006/relationships/hyperlink" Target="https://www.jivi.com.ar/ficha.php?id=1746" TargetMode="External"/><Relationship Id="rId33" Type="http://schemas.openxmlformats.org/officeDocument/2006/relationships/hyperlink" Target="https://www.jivi.com.ar/ficha.php?id=112" TargetMode="External"/><Relationship Id="rId129" Type="http://schemas.openxmlformats.org/officeDocument/2006/relationships/hyperlink" Target="https://www.jivi.com.ar/ficha.php?id=926" TargetMode="External"/><Relationship Id="rId280" Type="http://schemas.openxmlformats.org/officeDocument/2006/relationships/hyperlink" Target="https://www.jivi.com.ar/ficha.php?id=1335" TargetMode="External"/><Relationship Id="rId336" Type="http://schemas.openxmlformats.org/officeDocument/2006/relationships/hyperlink" Target="https://www.jivi.com.ar/ficha.php?id=1540" TargetMode="External"/><Relationship Id="rId501" Type="http://schemas.openxmlformats.org/officeDocument/2006/relationships/hyperlink" Target="https://www.jivi.com.ar/ficha.php?id=1790" TargetMode="External"/><Relationship Id="rId543" Type="http://schemas.openxmlformats.org/officeDocument/2006/relationships/hyperlink" Target="https://www.jivi.com.ar/ficha.php?id=1886" TargetMode="External"/><Relationship Id="rId75" Type="http://schemas.openxmlformats.org/officeDocument/2006/relationships/hyperlink" Target="https://www.jivi.com.ar/ficha.php?id=19" TargetMode="External"/><Relationship Id="rId140" Type="http://schemas.openxmlformats.org/officeDocument/2006/relationships/hyperlink" Target="https://www.jivi.com.ar/ficha.php?id=1006" TargetMode="External"/><Relationship Id="rId182" Type="http://schemas.openxmlformats.org/officeDocument/2006/relationships/hyperlink" Target="https://www.jivi.com.ar/ficha.php?id=1218" TargetMode="External"/><Relationship Id="rId378" Type="http://schemas.openxmlformats.org/officeDocument/2006/relationships/hyperlink" Target="https://www.jivi.com.ar/ficha.php?id=1574" TargetMode="External"/><Relationship Id="rId403" Type="http://schemas.openxmlformats.org/officeDocument/2006/relationships/hyperlink" Target="https://www.jivi.com.ar/ficha.php?id=1270" TargetMode="External"/><Relationship Id="rId585" Type="http://schemas.openxmlformats.org/officeDocument/2006/relationships/hyperlink" Target="https://www.jivi.com.ar/ficha.php?id=1278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343" TargetMode="External"/><Relationship Id="rId445" Type="http://schemas.openxmlformats.org/officeDocument/2006/relationships/hyperlink" Target="https://www.jivi.com.ar/ficha.php?id=1697" TargetMode="External"/><Relationship Id="rId487" Type="http://schemas.openxmlformats.org/officeDocument/2006/relationships/hyperlink" Target="https://www.jivi.com.ar/ficha.php?id=76" TargetMode="External"/><Relationship Id="rId610" Type="http://schemas.openxmlformats.org/officeDocument/2006/relationships/hyperlink" Target="https://www.jivi.com.ar/ficha.php?id=2083" TargetMode="External"/><Relationship Id="rId291" Type="http://schemas.openxmlformats.org/officeDocument/2006/relationships/hyperlink" Target="https://www.jivi.com.ar/ficha.php?id=1464" TargetMode="External"/><Relationship Id="rId305" Type="http://schemas.openxmlformats.org/officeDocument/2006/relationships/hyperlink" Target="https://www.jivi.com.ar/ficha.php?id=1483" TargetMode="External"/><Relationship Id="rId347" Type="http://schemas.openxmlformats.org/officeDocument/2006/relationships/hyperlink" Target="https://www.jivi.com.ar/ficha.php?id=1553" TargetMode="External"/><Relationship Id="rId512" Type="http://schemas.openxmlformats.org/officeDocument/2006/relationships/hyperlink" Target="https://www.jivi.com.ar/ficha.php?id=1377" TargetMode="External"/><Relationship Id="rId44" Type="http://schemas.openxmlformats.org/officeDocument/2006/relationships/hyperlink" Target="https://www.jivi.com.ar/ficha.php?id=713" TargetMode="External"/><Relationship Id="rId86" Type="http://schemas.openxmlformats.org/officeDocument/2006/relationships/hyperlink" Target="https://www.jivi.com.ar/ficha.php?id=168" TargetMode="External"/><Relationship Id="rId151" Type="http://schemas.openxmlformats.org/officeDocument/2006/relationships/hyperlink" Target="https://www.jivi.com.ar/ficha.php?id=1080" TargetMode="External"/><Relationship Id="rId389" Type="http://schemas.openxmlformats.org/officeDocument/2006/relationships/hyperlink" Target="https://www.jivi.com.ar/ficha.php?id=1590" TargetMode="External"/><Relationship Id="rId554" Type="http://schemas.openxmlformats.org/officeDocument/2006/relationships/hyperlink" Target="https://www.jivi.com.ar/ficha.php?id=2000" TargetMode="External"/><Relationship Id="rId596" Type="http://schemas.openxmlformats.org/officeDocument/2006/relationships/hyperlink" Target="https://www.jivi.com.ar/ficha.php?id=971" TargetMode="External"/><Relationship Id="rId193" Type="http://schemas.openxmlformats.org/officeDocument/2006/relationships/hyperlink" Target="https://www.jivi.com.ar/ficha.php?id=1232" TargetMode="External"/><Relationship Id="rId207" Type="http://schemas.openxmlformats.org/officeDocument/2006/relationships/hyperlink" Target="https://www.jivi.com.ar/ficha.php?id=1302" TargetMode="External"/><Relationship Id="rId249" Type="http://schemas.openxmlformats.org/officeDocument/2006/relationships/hyperlink" Target="https://www.jivi.com.ar/ficha.php?id=477" TargetMode="External"/><Relationship Id="rId414" Type="http://schemas.openxmlformats.org/officeDocument/2006/relationships/hyperlink" Target="https://www.jivi.com.ar/ficha.php?id=1617" TargetMode="External"/><Relationship Id="rId456" Type="http://schemas.openxmlformats.org/officeDocument/2006/relationships/hyperlink" Target="https://www.jivi.com.ar/ficha.php?id=1707" TargetMode="External"/><Relationship Id="rId498" Type="http://schemas.openxmlformats.org/officeDocument/2006/relationships/hyperlink" Target="https://www.jivi.com.ar/ficha.php?id=1487" TargetMode="External"/><Relationship Id="rId621" Type="http://schemas.openxmlformats.org/officeDocument/2006/relationships/hyperlink" Target="https://www.jivi.com.ar/ficha.php?id=1513" TargetMode="External"/><Relationship Id="rId13" Type="http://schemas.openxmlformats.org/officeDocument/2006/relationships/hyperlink" Target="https://www.jivi.com.ar/ficha.php?id=77" TargetMode="External"/><Relationship Id="rId109" Type="http://schemas.openxmlformats.org/officeDocument/2006/relationships/hyperlink" Target="https://www.jivi.com.ar/ficha.php?id=214" TargetMode="External"/><Relationship Id="rId260" Type="http://schemas.openxmlformats.org/officeDocument/2006/relationships/hyperlink" Target="https://www.jivi.com.ar/ficha.php?id=1418" TargetMode="External"/><Relationship Id="rId316" Type="http://schemas.openxmlformats.org/officeDocument/2006/relationships/hyperlink" Target="https://www.jivi.com.ar/ficha.php?id=1500" TargetMode="External"/><Relationship Id="rId523" Type="http://schemas.openxmlformats.org/officeDocument/2006/relationships/hyperlink" Target="https://www.jivi.com.ar/ficha.php?id=149" TargetMode="External"/><Relationship Id="rId55" Type="http://schemas.openxmlformats.org/officeDocument/2006/relationships/hyperlink" Target="https://www.jivi.com.ar/ficha.php?id=121" TargetMode="External"/><Relationship Id="rId97" Type="http://schemas.openxmlformats.org/officeDocument/2006/relationships/hyperlink" Target="https://www.jivi.com.ar/ficha.php?id=181" TargetMode="External"/><Relationship Id="rId120" Type="http://schemas.openxmlformats.org/officeDocument/2006/relationships/hyperlink" Target="https://www.jivi.com.ar/ficha.php?id=848" TargetMode="External"/><Relationship Id="rId358" Type="http://schemas.openxmlformats.org/officeDocument/2006/relationships/hyperlink" Target="https://www.jivi.com.ar/ficha.php?id=1414" TargetMode="External"/><Relationship Id="rId565" Type="http://schemas.openxmlformats.org/officeDocument/2006/relationships/hyperlink" Target="https://www.jivi.com.ar/ficha.php?id=2010" TargetMode="External"/><Relationship Id="rId162" Type="http://schemas.openxmlformats.org/officeDocument/2006/relationships/hyperlink" Target="https://www.jivi.com.ar/ficha.php?id=1119" TargetMode="External"/><Relationship Id="rId218" Type="http://schemas.openxmlformats.org/officeDocument/2006/relationships/hyperlink" Target="https://www.jivi.com.ar/ficha.php?id=1346" TargetMode="External"/><Relationship Id="rId425" Type="http://schemas.openxmlformats.org/officeDocument/2006/relationships/hyperlink" Target="https://www.jivi.com.ar/ficha.php?id=1644" TargetMode="External"/><Relationship Id="rId467" Type="http://schemas.openxmlformats.org/officeDocument/2006/relationships/hyperlink" Target="https://www.jivi.com.ar/ficha.php?id=1732" TargetMode="External"/><Relationship Id="rId632" Type="http://schemas.openxmlformats.org/officeDocument/2006/relationships/hyperlink" Target="https://www.jivi.com.ar/ficha.php?id=2202" TargetMode="External"/><Relationship Id="rId271" Type="http://schemas.openxmlformats.org/officeDocument/2006/relationships/hyperlink" Target="https://www.jivi.com.ar/ficha.php?id=1436" TargetMode="External"/><Relationship Id="rId24" Type="http://schemas.openxmlformats.org/officeDocument/2006/relationships/hyperlink" Target="https://www.jivi.com.ar/ficha.php?id=104" TargetMode="External"/><Relationship Id="rId66" Type="http://schemas.openxmlformats.org/officeDocument/2006/relationships/hyperlink" Target="https://www.jivi.com.ar/ficha.php?id=380" TargetMode="External"/><Relationship Id="rId131" Type="http://schemas.openxmlformats.org/officeDocument/2006/relationships/hyperlink" Target="https://www.jivi.com.ar/ficha.php?id=247" TargetMode="External"/><Relationship Id="rId327" Type="http://schemas.openxmlformats.org/officeDocument/2006/relationships/hyperlink" Target="https://www.jivi.com.ar/ficha.php?id=1517" TargetMode="External"/><Relationship Id="rId369" Type="http://schemas.openxmlformats.org/officeDocument/2006/relationships/hyperlink" Target="https://www.jivi.com.ar/ficha.php?id=1571" TargetMode="External"/><Relationship Id="rId534" Type="http://schemas.openxmlformats.org/officeDocument/2006/relationships/hyperlink" Target="https://www.jivi.com.ar/ficha.php?id=1443" TargetMode="External"/><Relationship Id="rId576" Type="http://schemas.openxmlformats.org/officeDocument/2006/relationships/hyperlink" Target="https://www.jivi.com.ar/ficha.php?id=2035" TargetMode="External"/><Relationship Id="rId173" Type="http://schemas.openxmlformats.org/officeDocument/2006/relationships/hyperlink" Target="https://www.jivi.com.ar/ficha.php?id=1175" TargetMode="External"/><Relationship Id="rId229" Type="http://schemas.openxmlformats.org/officeDocument/2006/relationships/hyperlink" Target="https://www.jivi.com.ar/ficha.php?id=1382" TargetMode="External"/><Relationship Id="rId380" Type="http://schemas.openxmlformats.org/officeDocument/2006/relationships/hyperlink" Target="https://www.jivi.com.ar/ficha.php?id=1580" TargetMode="External"/><Relationship Id="rId436" Type="http://schemas.openxmlformats.org/officeDocument/2006/relationships/hyperlink" Target="https://www.jivi.com.ar/ficha.php?id=1667" TargetMode="External"/><Relationship Id="rId601" Type="http://schemas.openxmlformats.org/officeDocument/2006/relationships/hyperlink" Target="https://www.jivi.com.ar/ficha.php?id=1369" TargetMode="External"/><Relationship Id="rId240" Type="http://schemas.openxmlformats.org/officeDocument/2006/relationships/hyperlink" Target="https://www.jivi.com.ar/ficha.php?id=872" TargetMode="External"/><Relationship Id="rId478" Type="http://schemas.openxmlformats.org/officeDocument/2006/relationships/hyperlink" Target="https://www.jivi.com.ar/ficha.php?id=1748" TargetMode="External"/><Relationship Id="rId35" Type="http://schemas.openxmlformats.org/officeDocument/2006/relationships/hyperlink" Target="https://www.jivi.com.ar/ficha.php?id=115" TargetMode="External"/><Relationship Id="rId77" Type="http://schemas.openxmlformats.org/officeDocument/2006/relationships/hyperlink" Target="https://www.jivi.com.ar/ficha.php?id=392" TargetMode="External"/><Relationship Id="rId100" Type="http://schemas.openxmlformats.org/officeDocument/2006/relationships/hyperlink" Target="http://whttps/www.jivi.com.ar/ficha.php?id=253" TargetMode="External"/><Relationship Id="rId282" Type="http://schemas.openxmlformats.org/officeDocument/2006/relationships/hyperlink" Target="https://www.jivi.com.ar/ficha.php?id=1354" TargetMode="External"/><Relationship Id="rId338" Type="http://schemas.openxmlformats.org/officeDocument/2006/relationships/hyperlink" Target="https://www.jivi.com.ar/ficha.php?id=1542" TargetMode="External"/><Relationship Id="rId503" Type="http://schemas.openxmlformats.org/officeDocument/2006/relationships/hyperlink" Target="https://www.jivi.com.ar/ficha.php?id=1791" TargetMode="External"/><Relationship Id="rId545" Type="http://schemas.openxmlformats.org/officeDocument/2006/relationships/hyperlink" Target="https://www.jivi.com.ar/ficha.php?id=1138" TargetMode="External"/><Relationship Id="rId587" Type="http://schemas.openxmlformats.org/officeDocument/2006/relationships/hyperlink" Target="https://www.jivi.com.ar/ficha.php?id=1410" TargetMode="External"/><Relationship Id="rId8" Type="http://schemas.openxmlformats.org/officeDocument/2006/relationships/hyperlink" Target="https://www.jivi.com.ar/ficha.php?id=41" TargetMode="External"/><Relationship Id="rId142" Type="http://schemas.openxmlformats.org/officeDocument/2006/relationships/hyperlink" Target="https://www.jivi.com.ar/ficha.php?id=251" TargetMode="External"/><Relationship Id="rId184" Type="http://schemas.openxmlformats.org/officeDocument/2006/relationships/hyperlink" Target="https://www.jivi.com.ar/ficha.php?id=1220" TargetMode="External"/><Relationship Id="rId391" Type="http://schemas.openxmlformats.org/officeDocument/2006/relationships/hyperlink" Target="https://www.jivi.com.ar/ficha.php?id=1592" TargetMode="External"/><Relationship Id="rId405" Type="http://schemas.openxmlformats.org/officeDocument/2006/relationships/hyperlink" Target="https://www.jivi.com.ar/ficha.php?id=1608" TargetMode="External"/><Relationship Id="rId447" Type="http://schemas.openxmlformats.org/officeDocument/2006/relationships/hyperlink" Target="https://www.jivi.com.ar/ficha.php?id=1699" TargetMode="External"/><Relationship Id="rId612" Type="http://schemas.openxmlformats.org/officeDocument/2006/relationships/hyperlink" Target="https://www.jivi.com.ar/ficha.php?id=2084" TargetMode="External"/><Relationship Id="rId251" Type="http://schemas.openxmlformats.org/officeDocument/2006/relationships/hyperlink" Target="https://www.jivi.com.ar/ficha.php?id=1402" TargetMode="External"/><Relationship Id="rId489" Type="http://schemas.openxmlformats.org/officeDocument/2006/relationships/hyperlink" Target="https://www.jivi.com.ar/ficha.php?id=1778" TargetMode="External"/><Relationship Id="rId46" Type="http://schemas.openxmlformats.org/officeDocument/2006/relationships/hyperlink" Target="https://www.jivi.com.ar/ficha.php?id=404" TargetMode="External"/><Relationship Id="rId293" Type="http://schemas.openxmlformats.org/officeDocument/2006/relationships/hyperlink" Target="https://www.jivi.com.ar/ficha.php?id=1467" TargetMode="External"/><Relationship Id="rId307" Type="http://schemas.openxmlformats.org/officeDocument/2006/relationships/hyperlink" Target="https://www.jivi.com.ar/ficha.php?id=1488" TargetMode="External"/><Relationship Id="rId349" Type="http://schemas.openxmlformats.org/officeDocument/2006/relationships/hyperlink" Target="https://www.jivi.com.ar/ficha.php?id=1555" TargetMode="External"/><Relationship Id="rId514" Type="http://schemas.openxmlformats.org/officeDocument/2006/relationships/hyperlink" Target="https://www.jivi.com.ar/ficha.php?id=1597" TargetMode="External"/><Relationship Id="rId556" Type="http://schemas.openxmlformats.org/officeDocument/2006/relationships/hyperlink" Target="https://www.jivi.com.ar/ficha.php?id=1601" TargetMode="External"/><Relationship Id="rId88" Type="http://schemas.openxmlformats.org/officeDocument/2006/relationships/hyperlink" Target="https://www.jivi.com.ar/ficha.php?id=148" TargetMode="External"/><Relationship Id="rId111" Type="http://schemas.openxmlformats.org/officeDocument/2006/relationships/hyperlink" Target="https://www.jivi.com.ar/ficha.php?id=234" TargetMode="External"/><Relationship Id="rId153" Type="http://schemas.openxmlformats.org/officeDocument/2006/relationships/hyperlink" Target="https://www.jivi.com.ar/ficha.php?id=1095" TargetMode="External"/><Relationship Id="rId195" Type="http://schemas.openxmlformats.org/officeDocument/2006/relationships/hyperlink" Target="https://www.jivi.com.ar/ficha.php?id=920" TargetMode="External"/><Relationship Id="rId209" Type="http://schemas.openxmlformats.org/officeDocument/2006/relationships/hyperlink" Target="https://www.jivi.com.ar/ficha.php?id=1305" TargetMode="External"/><Relationship Id="rId360" Type="http://schemas.openxmlformats.org/officeDocument/2006/relationships/hyperlink" Target="https://www.jivi.com.ar/ficha.php?id=1407" TargetMode="External"/><Relationship Id="rId416" Type="http://schemas.openxmlformats.org/officeDocument/2006/relationships/hyperlink" Target="https://www.jivi.com.ar/ficha.php?id=1619" TargetMode="External"/><Relationship Id="rId598" Type="http://schemas.openxmlformats.org/officeDocument/2006/relationships/hyperlink" Target="https://www.jivi.com.ar/ficha.php?id=2060" TargetMode="External"/><Relationship Id="rId220" Type="http://schemas.openxmlformats.org/officeDocument/2006/relationships/hyperlink" Target="https://www.jivi.com.ar/ficha.php?id=1348" TargetMode="External"/><Relationship Id="rId458" Type="http://schemas.openxmlformats.org/officeDocument/2006/relationships/hyperlink" Target="https://www.jivi.com.ar/ficha.php?id=1721" TargetMode="External"/><Relationship Id="rId623" Type="http://schemas.openxmlformats.org/officeDocument/2006/relationships/hyperlink" Target="https://www.jivi.com.ar/ficha.php?id=2142" TargetMode="External"/><Relationship Id="rId15" Type="http://schemas.openxmlformats.org/officeDocument/2006/relationships/hyperlink" Target="https://www.jivi.com.ar/ficha.php?id=93" TargetMode="External"/><Relationship Id="rId57" Type="http://schemas.openxmlformats.org/officeDocument/2006/relationships/hyperlink" Target="https://www.jivi.com.ar/ficha.php?id=123" TargetMode="External"/><Relationship Id="rId262" Type="http://schemas.openxmlformats.org/officeDocument/2006/relationships/hyperlink" Target="https://www.jivi.com.ar/ficha.php?id=1420" TargetMode="External"/><Relationship Id="rId318" Type="http://schemas.openxmlformats.org/officeDocument/2006/relationships/hyperlink" Target="https://www.jivi.com.ar/ficha.php?id=1504" TargetMode="External"/><Relationship Id="rId525" Type="http://schemas.openxmlformats.org/officeDocument/2006/relationships/hyperlink" Target="https://www.jivi.com.ar/ficha.php?id=1835" TargetMode="External"/><Relationship Id="rId567" Type="http://schemas.openxmlformats.org/officeDocument/2006/relationships/hyperlink" Target="https://www.jivi.com.ar/ficha.php?id=2012" TargetMode="External"/><Relationship Id="rId99" Type="http://schemas.openxmlformats.org/officeDocument/2006/relationships/hyperlink" Target="https://www.jivi.com.ar/ficha.php?id=473" TargetMode="External"/><Relationship Id="rId122" Type="http://schemas.openxmlformats.org/officeDocument/2006/relationships/hyperlink" Target="https://www.jivi.com.ar/ficha.php?id=862" TargetMode="External"/><Relationship Id="rId164" Type="http://schemas.openxmlformats.org/officeDocument/2006/relationships/hyperlink" Target="https://www.jivi.com.ar/ficha.php?id=1154" TargetMode="External"/><Relationship Id="rId371" Type="http://schemas.openxmlformats.org/officeDocument/2006/relationships/hyperlink" Target="https://www.jivi.com.ar/ficha.php?id=1572" TargetMode="External"/><Relationship Id="rId427" Type="http://schemas.openxmlformats.org/officeDocument/2006/relationships/hyperlink" Target="https://www.jivi.com.ar/ficha.php?id=1639" TargetMode="External"/><Relationship Id="rId469" Type="http://schemas.openxmlformats.org/officeDocument/2006/relationships/hyperlink" Target="https://www.jivi.com.ar/ficha.php?id=1738" TargetMode="External"/><Relationship Id="rId634" Type="http://schemas.openxmlformats.org/officeDocument/2006/relationships/hyperlink" Target="https://www.jivi.com.ar/ficha.php?id=1454" TargetMode="External"/><Relationship Id="rId26" Type="http://schemas.openxmlformats.org/officeDocument/2006/relationships/hyperlink" Target="https://www.jivi.com.ar/ficha.php?id=106" TargetMode="External"/><Relationship Id="rId231" Type="http://schemas.openxmlformats.org/officeDocument/2006/relationships/hyperlink" Target="https://www.jivi.com.ar/ficha.php?id=1384" TargetMode="External"/><Relationship Id="rId273" Type="http://schemas.openxmlformats.org/officeDocument/2006/relationships/hyperlink" Target="https://www.jivi.com.ar/ficha.php?id=1702" TargetMode="External"/><Relationship Id="rId329" Type="http://schemas.openxmlformats.org/officeDocument/2006/relationships/hyperlink" Target="https://www.jivi.com.ar/ficha.php?id=1559" TargetMode="External"/><Relationship Id="rId480" Type="http://schemas.openxmlformats.org/officeDocument/2006/relationships/hyperlink" Target="https://www.jivi.com.ar/ficha.php?id=1787" TargetMode="External"/><Relationship Id="rId536" Type="http://schemas.openxmlformats.org/officeDocument/2006/relationships/hyperlink" Target="https://www.jivi.com.ar/ficha.php?id=1733" TargetMode="External"/><Relationship Id="rId68" Type="http://schemas.openxmlformats.org/officeDocument/2006/relationships/hyperlink" Target="https://www.jivi.com.ar/ficha.php?id=501" TargetMode="External"/><Relationship Id="rId133" Type="http://schemas.openxmlformats.org/officeDocument/2006/relationships/hyperlink" Target="https://www.jivi.com.ar/ficha.php?id=954" TargetMode="External"/><Relationship Id="rId175" Type="http://schemas.openxmlformats.org/officeDocument/2006/relationships/hyperlink" Target="https://www.jivi.com.ar/ficha.php?id=1182" TargetMode="External"/><Relationship Id="rId340" Type="http://schemas.openxmlformats.org/officeDocument/2006/relationships/hyperlink" Target="https://www.jivi.com.ar/ficha.php?id=1547" TargetMode="External"/><Relationship Id="rId578" Type="http://schemas.openxmlformats.org/officeDocument/2006/relationships/hyperlink" Target="https://www.jivi.com.ar/ficha.php?id=1662" TargetMode="External"/><Relationship Id="rId200" Type="http://schemas.openxmlformats.org/officeDocument/2006/relationships/hyperlink" Target="https://www.jivi.com.ar/ficha.php?id=1261" TargetMode="External"/><Relationship Id="rId382" Type="http://schemas.openxmlformats.org/officeDocument/2006/relationships/hyperlink" Target="https://www.jivi.com.ar/ficha.php?id=1583" TargetMode="External"/><Relationship Id="rId438" Type="http://schemas.openxmlformats.org/officeDocument/2006/relationships/hyperlink" Target="https://www.jivi.com.ar/ficha.php?id=1272" TargetMode="External"/><Relationship Id="rId603" Type="http://schemas.openxmlformats.org/officeDocument/2006/relationships/hyperlink" Target="https://www.jivi.com.ar/ficha.php?id=1391" TargetMode="External"/><Relationship Id="rId242" Type="http://schemas.openxmlformats.org/officeDocument/2006/relationships/hyperlink" Target="https://www.jivi.com.ar/ficha.php?id=1262" TargetMode="External"/><Relationship Id="rId284" Type="http://schemas.openxmlformats.org/officeDocument/2006/relationships/hyperlink" Target="https://www.jivi.com.ar/ficha.php?id=1450" TargetMode="External"/><Relationship Id="rId491" Type="http://schemas.openxmlformats.org/officeDocument/2006/relationships/hyperlink" Target="https://www.jivi.com.ar/ficha.php?id=1710" TargetMode="External"/><Relationship Id="rId505" Type="http://schemas.openxmlformats.org/officeDocument/2006/relationships/hyperlink" Target="https://www.jivi.com.ar/ficha.php?id=1087" TargetMode="External"/><Relationship Id="rId37" Type="http://schemas.openxmlformats.org/officeDocument/2006/relationships/hyperlink" Target="https://www.jivi.com.ar/ficha.php?id=117" TargetMode="External"/><Relationship Id="rId79" Type="http://schemas.openxmlformats.org/officeDocument/2006/relationships/hyperlink" Target="https://www.jivi.com.ar/ficha.php?id=135" TargetMode="External"/><Relationship Id="rId102" Type="http://schemas.openxmlformats.org/officeDocument/2006/relationships/hyperlink" Target="https://www.jivi.com.ar/ficha.php?id=23" TargetMode="External"/><Relationship Id="rId144" Type="http://schemas.openxmlformats.org/officeDocument/2006/relationships/hyperlink" Target="https://www.jivi.com.ar/ficha.php?id=1025" TargetMode="External"/><Relationship Id="rId547" Type="http://schemas.openxmlformats.org/officeDocument/2006/relationships/hyperlink" Target="https://www.jivi.com.ar/ficha.php?id=1916" TargetMode="External"/><Relationship Id="rId589" Type="http://schemas.openxmlformats.org/officeDocument/2006/relationships/hyperlink" Target="https://www.jivi.com.ar/ficha.php?id=1433" TargetMode="External"/><Relationship Id="rId90" Type="http://schemas.openxmlformats.org/officeDocument/2006/relationships/hyperlink" Target="https://www.jivi.com.ar/ficha.php?id=621" TargetMode="External"/><Relationship Id="rId186" Type="http://schemas.openxmlformats.org/officeDocument/2006/relationships/hyperlink" Target="https://www.jivi.com.ar/ficha.php?id=1223" TargetMode="External"/><Relationship Id="rId351" Type="http://schemas.openxmlformats.org/officeDocument/2006/relationships/hyperlink" Target="https://www.jivi.com.ar/ficha.php?id=1558" TargetMode="External"/><Relationship Id="rId393" Type="http://schemas.openxmlformats.org/officeDocument/2006/relationships/hyperlink" Target="https://www.jivi.com.ar/ficha.php?id=1595" TargetMode="External"/><Relationship Id="rId407" Type="http://schemas.openxmlformats.org/officeDocument/2006/relationships/hyperlink" Target="https://www.jivi.com.ar/ficha.php?id=1274" TargetMode="External"/><Relationship Id="rId449" Type="http://schemas.openxmlformats.org/officeDocument/2006/relationships/hyperlink" Target="https://www.jivi.com.ar/ficha.php?id=1462" TargetMode="External"/><Relationship Id="rId614" Type="http://schemas.openxmlformats.org/officeDocument/2006/relationships/hyperlink" Target="https://www.jivi.com.ar/ficha.php?id=1001" TargetMode="External"/><Relationship Id="rId211" Type="http://schemas.openxmlformats.org/officeDocument/2006/relationships/hyperlink" Target="https://www.jivi.com.ar/ficha.php?id=1287" TargetMode="External"/><Relationship Id="rId253" Type="http://schemas.openxmlformats.org/officeDocument/2006/relationships/hyperlink" Target="https://www.jivi.com.ar/ficha.php?id=1405" TargetMode="External"/><Relationship Id="rId295" Type="http://schemas.openxmlformats.org/officeDocument/2006/relationships/hyperlink" Target="https://www.jivi.com.ar/ficha.php?id=1471" TargetMode="External"/><Relationship Id="rId309" Type="http://schemas.openxmlformats.org/officeDocument/2006/relationships/hyperlink" Target="https://www.jivi.com.ar/ficha.php?id=1493" TargetMode="External"/><Relationship Id="rId460" Type="http://schemas.openxmlformats.org/officeDocument/2006/relationships/hyperlink" Target="https://www.jivi.com.ar/ficha.php?id=1723" TargetMode="External"/><Relationship Id="rId516" Type="http://schemas.openxmlformats.org/officeDocument/2006/relationships/hyperlink" Target="https://www.jivi.com.ar/ficha.php?id=1774" TargetMode="External"/><Relationship Id="rId48" Type="http://schemas.openxmlformats.org/officeDocument/2006/relationships/hyperlink" Target="https://www.jivi.com.ar/ficha.php?id=406" TargetMode="External"/><Relationship Id="rId113" Type="http://schemas.openxmlformats.org/officeDocument/2006/relationships/hyperlink" Target="https://www.jivi.com.ar/ficha.php?id=780" TargetMode="External"/><Relationship Id="rId320" Type="http://schemas.openxmlformats.org/officeDocument/2006/relationships/hyperlink" Target="https://www.jivi.com.ar/ficha.php?id=1506" TargetMode="External"/><Relationship Id="rId558" Type="http://schemas.openxmlformats.org/officeDocument/2006/relationships/hyperlink" Target="https://www.jivi.com.ar/ficha.php?id=1245" TargetMode="External"/><Relationship Id="rId155" Type="http://schemas.openxmlformats.org/officeDocument/2006/relationships/hyperlink" Target="https://www.jivi.com.ar/ficha.php?id=297" TargetMode="External"/><Relationship Id="rId197" Type="http://schemas.openxmlformats.org/officeDocument/2006/relationships/hyperlink" Target="https://www.jivi.com.ar/ficha.php?id=1248" TargetMode="External"/><Relationship Id="rId362" Type="http://schemas.openxmlformats.org/officeDocument/2006/relationships/hyperlink" Target="https://www.jivi.com.ar/ficha.php?id=1408" TargetMode="External"/><Relationship Id="rId418" Type="http://schemas.openxmlformats.org/officeDocument/2006/relationships/hyperlink" Target="https://www.jivi.com.ar/ficha.php?id=1204" TargetMode="External"/><Relationship Id="rId625" Type="http://schemas.openxmlformats.org/officeDocument/2006/relationships/hyperlink" Target="https://www.jivi.com.ar/ficha.php?id=2146" TargetMode="External"/><Relationship Id="rId222" Type="http://schemas.openxmlformats.org/officeDocument/2006/relationships/hyperlink" Target="https://www.jivi.com.ar/ficha.php?id=1360" TargetMode="External"/><Relationship Id="rId264" Type="http://schemas.openxmlformats.org/officeDocument/2006/relationships/hyperlink" Target="https://www.jivi.com.ar/ficha.php?id=1422" TargetMode="External"/><Relationship Id="rId471" Type="http://schemas.openxmlformats.org/officeDocument/2006/relationships/hyperlink" Target="https://www.jivi.com.ar/ficha.php?id=1742" TargetMode="External"/><Relationship Id="rId17" Type="http://schemas.openxmlformats.org/officeDocument/2006/relationships/hyperlink" Target="https://www.jivi.com.ar/ficha.php?id=97" TargetMode="External"/><Relationship Id="rId59" Type="http://schemas.openxmlformats.org/officeDocument/2006/relationships/hyperlink" Target="https://www.jivi.com.ar/ficha.php?id=125" TargetMode="External"/><Relationship Id="rId124" Type="http://schemas.openxmlformats.org/officeDocument/2006/relationships/hyperlink" Target="https://www.jivi.com.ar/ficha.php?id=882" TargetMode="External"/><Relationship Id="rId527" Type="http://schemas.openxmlformats.org/officeDocument/2006/relationships/hyperlink" Target="https://www.jivi.com.ar/ficha.php?id=1152" TargetMode="External"/><Relationship Id="rId569" Type="http://schemas.openxmlformats.org/officeDocument/2006/relationships/hyperlink" Target="https://www.jivi.com.ar/ficha.php?id=2017" TargetMode="External"/><Relationship Id="rId70" Type="http://schemas.openxmlformats.org/officeDocument/2006/relationships/hyperlink" Target="https://www.jivi.com.ar/ficha.php?id=326" TargetMode="External"/><Relationship Id="rId166" Type="http://schemas.openxmlformats.org/officeDocument/2006/relationships/hyperlink" Target="https://www.jivi.com.ar/ficha.php?id=1158" TargetMode="External"/><Relationship Id="rId331" Type="http://schemas.openxmlformats.org/officeDocument/2006/relationships/hyperlink" Target="https://www.jivi.com.ar/ficha.php?id=1532" TargetMode="External"/><Relationship Id="rId373" Type="http://schemas.openxmlformats.org/officeDocument/2006/relationships/hyperlink" Target="https://www.jivi.com.ar/ficha.php?id=1294" TargetMode="External"/><Relationship Id="rId429" Type="http://schemas.openxmlformats.org/officeDocument/2006/relationships/hyperlink" Target="https://www.jivi.com.ar/ficha.php?id=1652" TargetMode="External"/><Relationship Id="rId580" Type="http://schemas.openxmlformats.org/officeDocument/2006/relationships/hyperlink" Target="https://www.jivi.com.ar/ficha.php?id=248" TargetMode="External"/><Relationship Id="rId636" Type="http://schemas.openxmlformats.org/officeDocument/2006/relationships/hyperlink" Target="https://www.jivi.com.ar/ficha.php?id=2204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385" TargetMode="External"/><Relationship Id="rId440" Type="http://schemas.openxmlformats.org/officeDocument/2006/relationships/hyperlink" Target="https://www.jivi.com.ar/ficha.php?id=1672" TargetMode="External"/><Relationship Id="rId28" Type="http://schemas.openxmlformats.org/officeDocument/2006/relationships/hyperlink" Target="https://www.jivi.com.ar/ficha.php?id=108" TargetMode="External"/><Relationship Id="rId275" Type="http://schemas.openxmlformats.org/officeDocument/2006/relationships/hyperlink" Target="https://www.jivi.com.ar/ficha.php?id=1442" TargetMode="External"/><Relationship Id="rId300" Type="http://schemas.openxmlformats.org/officeDocument/2006/relationships/hyperlink" Target="https://www.jivi.com.ar/ficha.php?id=835" TargetMode="External"/><Relationship Id="rId482" Type="http://schemas.openxmlformats.org/officeDocument/2006/relationships/hyperlink" Target="https://www.jivi.com.ar/ficha.php?id=1751" TargetMode="External"/><Relationship Id="rId538" Type="http://schemas.openxmlformats.org/officeDocument/2006/relationships/hyperlink" Target="https://www.jivi.com.ar/ficha.php?id=1530" TargetMode="External"/><Relationship Id="rId81" Type="http://schemas.openxmlformats.org/officeDocument/2006/relationships/hyperlink" Target="https://www.jivi.com.ar/ficha.php?id=137" TargetMode="External"/><Relationship Id="rId135" Type="http://schemas.openxmlformats.org/officeDocument/2006/relationships/hyperlink" Target="https://www.jivi.com.ar/ficha.php?id=956" TargetMode="External"/><Relationship Id="rId177" Type="http://schemas.openxmlformats.org/officeDocument/2006/relationships/hyperlink" Target="https://www.jivi.com.ar/ficha.php?id=1185" TargetMode="External"/><Relationship Id="rId342" Type="http://schemas.openxmlformats.org/officeDocument/2006/relationships/hyperlink" Target="https://www.jivi.com.ar/ficha.php?id=1548" TargetMode="External"/><Relationship Id="rId384" Type="http://schemas.openxmlformats.org/officeDocument/2006/relationships/hyperlink" Target="https://www.jivi.com.ar/ficha.php?id=1586" TargetMode="External"/><Relationship Id="rId591" Type="http://schemas.openxmlformats.org/officeDocument/2006/relationships/hyperlink" Target="https://www.jivi.com.ar/ficha.php?id=2051" TargetMode="External"/><Relationship Id="rId605" Type="http://schemas.openxmlformats.org/officeDocument/2006/relationships/hyperlink" Target="https://www.jivi.com.ar/ficha.php?id=2067" TargetMode="External"/><Relationship Id="rId202" Type="http://schemas.openxmlformats.org/officeDocument/2006/relationships/hyperlink" Target="https://www.jivi.com.ar/ficha.php?id=1268" TargetMode="External"/><Relationship Id="rId244" Type="http://schemas.openxmlformats.org/officeDocument/2006/relationships/hyperlink" Target="https://www.jivi.com.ar/ficha.php?id=1401" TargetMode="External"/><Relationship Id="rId39" Type="http://schemas.openxmlformats.org/officeDocument/2006/relationships/hyperlink" Target="https://www.jivi.com.ar/ficha.php?id=400" TargetMode="External"/><Relationship Id="rId286" Type="http://schemas.openxmlformats.org/officeDocument/2006/relationships/hyperlink" Target="https://www.jivi.com.ar/ficha.php?id=1064" TargetMode="External"/><Relationship Id="rId451" Type="http://schemas.openxmlformats.org/officeDocument/2006/relationships/hyperlink" Target="https://www.jivi.com.ar/ficha.php?id=1528" TargetMode="External"/><Relationship Id="rId493" Type="http://schemas.openxmlformats.org/officeDocument/2006/relationships/hyperlink" Target="https://www.jivi.com.ar/ficha.php?id=1737" TargetMode="External"/><Relationship Id="rId507" Type="http://schemas.openxmlformats.org/officeDocument/2006/relationships/hyperlink" Target="https://www.jivi.com.ar/ficha.php?id=1451" TargetMode="External"/><Relationship Id="rId549" Type="http://schemas.openxmlformats.org/officeDocument/2006/relationships/hyperlink" Target="https://www.jivi.com.ar/ficha.php?id=1386" TargetMode="External"/><Relationship Id="rId50" Type="http://schemas.openxmlformats.org/officeDocument/2006/relationships/hyperlink" Target="https://www.jivi.com.ar/ficha.php?id=408" TargetMode="External"/><Relationship Id="rId104" Type="http://schemas.openxmlformats.org/officeDocument/2006/relationships/hyperlink" Target="https://www.jivi.com.ar/ficha.php?id=221" TargetMode="External"/><Relationship Id="rId146" Type="http://schemas.openxmlformats.org/officeDocument/2006/relationships/hyperlink" Target="https://www.jivi.com.ar/ficha.php?id=1049" TargetMode="External"/><Relationship Id="rId188" Type="http://schemas.openxmlformats.org/officeDocument/2006/relationships/hyperlink" Target="https://www.jivi.com.ar/ficha.php?id=1224" TargetMode="External"/><Relationship Id="rId311" Type="http://schemas.openxmlformats.org/officeDocument/2006/relationships/hyperlink" Target="https://www.jivi.com.ar/ficha.php?id=1495" TargetMode="External"/><Relationship Id="rId353" Type="http://schemas.openxmlformats.org/officeDocument/2006/relationships/hyperlink" Target="https://www.jivi.com.ar/ficha.php?id=1561" TargetMode="External"/><Relationship Id="rId395" Type="http://schemas.openxmlformats.org/officeDocument/2006/relationships/hyperlink" Target="https://www.jivi.com.ar/ficha.php?id=1598" TargetMode="External"/><Relationship Id="rId409" Type="http://schemas.openxmlformats.org/officeDocument/2006/relationships/hyperlink" Target="https://www.jivi.com.ar/ficha.php?id=1611" TargetMode="External"/><Relationship Id="rId560" Type="http://schemas.openxmlformats.org/officeDocument/2006/relationships/hyperlink" Target="https://www.jivi.com.ar/ficha.php?id=2007" TargetMode="External"/><Relationship Id="rId92" Type="http://schemas.openxmlformats.org/officeDocument/2006/relationships/hyperlink" Target="https://www.jivi.com.ar/ficha.php?id=456" TargetMode="External"/><Relationship Id="rId213" Type="http://schemas.openxmlformats.org/officeDocument/2006/relationships/hyperlink" Target="https://www.jivi.com.ar/ficha.php?id=1316" TargetMode="External"/><Relationship Id="rId420" Type="http://schemas.openxmlformats.org/officeDocument/2006/relationships/hyperlink" Target="https://www.jivi.com.ar/ficha.php?id=1634" TargetMode="External"/><Relationship Id="rId616" Type="http://schemas.openxmlformats.org/officeDocument/2006/relationships/hyperlink" Target="https://www.jivi.com.ar/ficha.php?id=1512" TargetMode="External"/><Relationship Id="rId255" Type="http://schemas.openxmlformats.org/officeDocument/2006/relationships/hyperlink" Target="https://www.jivi.com.ar/ficha.php?id=1415" TargetMode="External"/><Relationship Id="rId297" Type="http://schemas.openxmlformats.org/officeDocument/2006/relationships/hyperlink" Target="htthttps://www.jivi.com.ar/ficha.php?id=1476" TargetMode="External"/><Relationship Id="rId462" Type="http://schemas.openxmlformats.org/officeDocument/2006/relationships/hyperlink" Target="https://www.jivi.com.ar/ficha.php?id=1727" TargetMode="External"/><Relationship Id="rId518" Type="http://schemas.openxmlformats.org/officeDocument/2006/relationships/hyperlink" Target="https://www.jivi.com.ar/ficha.php?id=1544" TargetMode="External"/><Relationship Id="rId115" Type="http://schemas.openxmlformats.org/officeDocument/2006/relationships/hyperlink" Target="https://www.jivi.com.ar/ficha.php?id=707" TargetMode="External"/><Relationship Id="rId157" Type="http://schemas.openxmlformats.org/officeDocument/2006/relationships/hyperlink" Target="https://www.jivi.com.ar/ficha.php?id=1098" TargetMode="External"/><Relationship Id="rId322" Type="http://schemas.openxmlformats.org/officeDocument/2006/relationships/hyperlink" Target="https://www.jivi.com.ar/ficha.php?id=1508" TargetMode="External"/><Relationship Id="rId364" Type="http://schemas.openxmlformats.org/officeDocument/2006/relationships/hyperlink" Target="https://www.jivi.com.ar/ficha.php?id=1434" TargetMode="External"/><Relationship Id="rId61" Type="http://schemas.openxmlformats.org/officeDocument/2006/relationships/hyperlink" Target="https://www.jivi.com.ar/ficha.php?id=4" TargetMode="External"/><Relationship Id="rId199" Type="http://schemas.openxmlformats.org/officeDocument/2006/relationships/hyperlink" Target="https://www.jivi.com.ar/ficha.php?id=1124" TargetMode="External"/><Relationship Id="rId571" Type="http://schemas.openxmlformats.org/officeDocument/2006/relationships/hyperlink" Target="https://www.jivi.com.ar/ficha.php?id=1339" TargetMode="External"/><Relationship Id="rId627" Type="http://schemas.openxmlformats.org/officeDocument/2006/relationships/hyperlink" Target="https://www.jivi.com.ar/ficha.php?id=2169" TargetMode="External"/><Relationship Id="rId19" Type="http://schemas.openxmlformats.org/officeDocument/2006/relationships/hyperlink" Target="https://www.jivi.com.ar/ficha.php?id=99" TargetMode="External"/><Relationship Id="rId224" Type="http://schemas.openxmlformats.org/officeDocument/2006/relationships/hyperlink" Target="https://www.jivi.com.ar/ficha.php?id=1366" TargetMode="External"/><Relationship Id="rId266" Type="http://schemas.openxmlformats.org/officeDocument/2006/relationships/hyperlink" Target="https://www.jivi.com.ar/ficha.php?id=1425" TargetMode="External"/><Relationship Id="rId431" Type="http://schemas.openxmlformats.org/officeDocument/2006/relationships/hyperlink" Target="https://www.jivi.com.ar/ficha.php?id=1657" TargetMode="External"/><Relationship Id="rId473" Type="http://schemas.openxmlformats.org/officeDocument/2006/relationships/hyperlink" Target="https://www.jivi.com.ar/ficha.php?id=1743" TargetMode="External"/><Relationship Id="rId529" Type="http://schemas.openxmlformats.org/officeDocument/2006/relationships/hyperlink" Target="https://www.jivi.com.ar/ficha.php?id=1077" TargetMode="External"/><Relationship Id="rId30" Type="http://schemas.openxmlformats.org/officeDocument/2006/relationships/hyperlink" Target="https://www.jivi.com.ar/ficha.php?id=110" TargetMode="External"/><Relationship Id="rId126" Type="http://schemas.openxmlformats.org/officeDocument/2006/relationships/hyperlink" Target="https://www.jivi.com.ar/ficha.php?id=886" TargetMode="External"/><Relationship Id="rId168" Type="http://schemas.openxmlformats.org/officeDocument/2006/relationships/hyperlink" Target="https://www.jivi.com.ar/ficha.php?id=1156" TargetMode="External"/><Relationship Id="rId333" Type="http://schemas.openxmlformats.org/officeDocument/2006/relationships/hyperlink" Target="https://www.jivi.com.ar/ficha.php?id=1535" TargetMode="External"/><Relationship Id="rId540" Type="http://schemas.openxmlformats.org/officeDocument/2006/relationships/hyperlink" Target="https://www.jivi.com.ar/ficha.php?id=1380" TargetMode="External"/><Relationship Id="rId72" Type="http://schemas.openxmlformats.org/officeDocument/2006/relationships/hyperlink" Target="https://www.jivi.com.ar/ficha.php?id=394" TargetMode="External"/><Relationship Id="rId375" Type="http://schemas.openxmlformats.org/officeDocument/2006/relationships/hyperlink" Target="https://www.jivi.com.ar/ficha.php?id=1296" TargetMode="External"/><Relationship Id="rId582" Type="http://schemas.openxmlformats.org/officeDocument/2006/relationships/hyperlink" Target="https://www.jivi.com.ar/ficha.php?id=2043" TargetMode="External"/><Relationship Id="rId638" Type="http://schemas.openxmlformats.org/officeDocument/2006/relationships/drawing" Target="../drawings/drawing1.xm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389" TargetMode="External"/><Relationship Id="rId277" Type="http://schemas.openxmlformats.org/officeDocument/2006/relationships/hyperlink" Target="https://www.jivi.com.ar/ficha.php?id=216" TargetMode="External"/><Relationship Id="rId400" Type="http://schemas.openxmlformats.org/officeDocument/2006/relationships/hyperlink" Target="https://www.jivi.com.ar/ficha.php?id=1604" TargetMode="External"/><Relationship Id="rId442" Type="http://schemas.openxmlformats.org/officeDocument/2006/relationships/hyperlink" Target="https://www.jivi.com.ar/ficha.php?id=1691" TargetMode="External"/><Relationship Id="rId484" Type="http://schemas.openxmlformats.org/officeDocument/2006/relationships/hyperlink" Target="https://www.jivi.com.ar/ficha.php?id=1776" TargetMode="External"/><Relationship Id="rId137" Type="http://schemas.openxmlformats.org/officeDocument/2006/relationships/hyperlink" Target="https://www.jivi.com.ar/ficha.php?id=967" TargetMode="External"/><Relationship Id="rId302" Type="http://schemas.openxmlformats.org/officeDocument/2006/relationships/hyperlink" Target="https://www.jivi.com.ar/ficha.php?id=1479" TargetMode="External"/><Relationship Id="rId344" Type="http://schemas.openxmlformats.org/officeDocument/2006/relationships/hyperlink" Target="https://www.jivi.com.ar/ficha.php?id=1551" TargetMode="External"/><Relationship Id="rId41" Type="http://schemas.openxmlformats.org/officeDocument/2006/relationships/hyperlink" Target="https://www.jivi.com.ar/ficha.php?id=402" TargetMode="External"/><Relationship Id="rId83" Type="http://schemas.openxmlformats.org/officeDocument/2006/relationships/hyperlink" Target="https://www.jivi.com.ar/ficha.php?id=245" TargetMode="External"/><Relationship Id="rId179" Type="http://schemas.openxmlformats.org/officeDocument/2006/relationships/hyperlink" Target="https://www.jivi.com.ar/ficha.php?id=1190" TargetMode="External"/><Relationship Id="rId386" Type="http://schemas.openxmlformats.org/officeDocument/2006/relationships/hyperlink" Target="https://www.jivi.com.ar/ficha.php?id=1221" TargetMode="External"/><Relationship Id="rId551" Type="http://schemas.openxmlformats.org/officeDocument/2006/relationships/hyperlink" Target="https://www.jivi.com.ar/ficha.php?id=1566" TargetMode="External"/><Relationship Id="rId593" Type="http://schemas.openxmlformats.org/officeDocument/2006/relationships/hyperlink" Target="https://www.jivi.com.ar/ficha.php?id=2053" TargetMode="External"/><Relationship Id="rId607" Type="http://schemas.openxmlformats.org/officeDocument/2006/relationships/hyperlink" Target="https://www.jivi.com.ar/ficha.php?id=1295" TargetMode="External"/><Relationship Id="rId190" Type="http://schemas.openxmlformats.org/officeDocument/2006/relationships/hyperlink" Target="https://www.jivi.com.ar/ficha.php?id=1226" TargetMode="External"/><Relationship Id="rId204" Type="http://schemas.openxmlformats.org/officeDocument/2006/relationships/hyperlink" Target="https://www.jivi.com.ar/ficha.php?id=991" TargetMode="External"/><Relationship Id="rId246" Type="http://schemas.openxmlformats.org/officeDocument/2006/relationships/hyperlink" Target="https://www.jivi.com.ar/ficha.php?id=1230" TargetMode="External"/><Relationship Id="rId288" Type="http://schemas.openxmlformats.org/officeDocument/2006/relationships/hyperlink" Target="https://www.jivi.com.ar/ficha.php?id=1323" TargetMode="External"/><Relationship Id="rId411" Type="http://schemas.openxmlformats.org/officeDocument/2006/relationships/hyperlink" Target="https://www.jivi.com.ar/ficha.php?id=1614" TargetMode="External"/><Relationship Id="rId453" Type="http://schemas.openxmlformats.org/officeDocument/2006/relationships/hyperlink" Target="https://www.jivi.com.ar/ficha.php?id=977" TargetMode="External"/><Relationship Id="rId509" Type="http://schemas.openxmlformats.org/officeDocument/2006/relationships/hyperlink" Target="https://www.jivi.com.ar/ficha.php?id=1805" TargetMode="External"/><Relationship Id="rId106" Type="http://schemas.openxmlformats.org/officeDocument/2006/relationships/hyperlink" Target="https://www.jivi.com.ar/ficha.php?id=568" TargetMode="External"/><Relationship Id="rId313" Type="http://schemas.openxmlformats.org/officeDocument/2006/relationships/hyperlink" Target="https://www.jivi.com.ar/ficha.php?id=1497" TargetMode="External"/><Relationship Id="rId495" Type="http://schemas.openxmlformats.org/officeDocument/2006/relationships/hyperlink" Target="https://www.jivi.com.ar/ficha.php?id=1293" TargetMode="External"/><Relationship Id="rId10" Type="http://schemas.openxmlformats.org/officeDocument/2006/relationships/hyperlink" Target="https://www.jivi.com.ar/ficha.php?id=649" TargetMode="External"/><Relationship Id="rId52" Type="http://schemas.openxmlformats.org/officeDocument/2006/relationships/hyperlink" Target="https://www.jivi.com.ar/ficha.php?id=118" TargetMode="External"/><Relationship Id="rId94" Type="http://schemas.openxmlformats.org/officeDocument/2006/relationships/hyperlink" Target="https://www.jivi.com.ar/ficha.php?id=431" TargetMode="External"/><Relationship Id="rId148" Type="http://schemas.openxmlformats.org/officeDocument/2006/relationships/hyperlink" Target="https://www.jivi.com.ar/ficha.php?id=1061" TargetMode="External"/><Relationship Id="rId355" Type="http://schemas.openxmlformats.org/officeDocument/2006/relationships/hyperlink" Target="https://www.jivi.com.ar/ficha.php?id=1066" TargetMode="External"/><Relationship Id="rId397" Type="http://schemas.openxmlformats.org/officeDocument/2006/relationships/hyperlink" Target="https://www.jivi.com.ar/ficha.php?id=1602" TargetMode="External"/><Relationship Id="rId520" Type="http://schemas.openxmlformats.org/officeDocument/2006/relationships/hyperlink" Target="https://www.jivi.com.ar/ficha.php?id=1556" TargetMode="External"/><Relationship Id="rId562" Type="http://schemas.openxmlformats.org/officeDocument/2006/relationships/hyperlink" Target="https://www.jivi.com.ar/ficha.php?id=2008" TargetMode="External"/><Relationship Id="rId618" Type="http://schemas.openxmlformats.org/officeDocument/2006/relationships/hyperlink" Target="https://www.jivi.com.ar/ficha.php?id=1299" TargetMode="External"/><Relationship Id="rId215" Type="http://schemas.openxmlformats.org/officeDocument/2006/relationships/hyperlink" Target="https://www.jivi.com.ar/ficha.php?id=1336" TargetMode="External"/><Relationship Id="rId257" Type="http://schemas.openxmlformats.org/officeDocument/2006/relationships/hyperlink" Target="https://www.jivi.com.ar/ficha.php?id=1084" TargetMode="External"/><Relationship Id="rId422" Type="http://schemas.openxmlformats.org/officeDocument/2006/relationships/hyperlink" Target="https://www.jivi.com.ar/ficha.php?id=968" TargetMode="External"/><Relationship Id="rId464" Type="http://schemas.openxmlformats.org/officeDocument/2006/relationships/hyperlink" Target="https://www.jivi.com.ar/ficha.php?id=1729" TargetMode="External"/><Relationship Id="rId299" Type="http://schemas.openxmlformats.org/officeDocument/2006/relationships/hyperlink" Target="https://www.jivi.com.ar/ficha.php?id=996" TargetMode="External"/><Relationship Id="rId63" Type="http://schemas.openxmlformats.org/officeDocument/2006/relationships/hyperlink" Target="https://www.jivi.com.ar/ficha.php?id=209" TargetMode="External"/><Relationship Id="rId159" Type="http://schemas.openxmlformats.org/officeDocument/2006/relationships/hyperlink" Target="https://www.jivi.com.ar/ficha.php?id=1104" TargetMode="External"/><Relationship Id="rId366" Type="http://schemas.openxmlformats.org/officeDocument/2006/relationships/hyperlink" Target="https://www.jivi.com.ar/ficha.php?id=1568" TargetMode="External"/><Relationship Id="rId573" Type="http://schemas.openxmlformats.org/officeDocument/2006/relationships/hyperlink" Target="https://www.jivi.com.ar/ficha.php?id=335" TargetMode="External"/><Relationship Id="rId226" Type="http://schemas.openxmlformats.org/officeDocument/2006/relationships/hyperlink" Target="https://www.jivi.com.ar/ficha.php?id=864" TargetMode="External"/><Relationship Id="rId433" Type="http://schemas.openxmlformats.org/officeDocument/2006/relationships/hyperlink" Target="https://www.jivi.com.ar/ficha.php?id=440" TargetMode="External"/><Relationship Id="rId640" Type="http://schemas.openxmlformats.org/officeDocument/2006/relationships/comments" Target="../comments1.xml"/><Relationship Id="rId74" Type="http://schemas.openxmlformats.org/officeDocument/2006/relationships/hyperlink" Target="https://www.jivi.com.ar/ficha.php?id=18" TargetMode="External"/><Relationship Id="rId377" Type="http://schemas.openxmlformats.org/officeDocument/2006/relationships/hyperlink" Target="https://www.jivi.com.ar/ficha.php?id=1249" TargetMode="External"/><Relationship Id="rId500" Type="http://schemas.openxmlformats.org/officeDocument/2006/relationships/hyperlink" Target="https://www.jivi.com.ar/ficha.php?id=1186" TargetMode="External"/><Relationship Id="rId584" Type="http://schemas.openxmlformats.org/officeDocument/2006/relationships/hyperlink" Target="https://www.jivi.com.ar/ficha.php?id=1280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236" TargetMode="External"/><Relationship Id="rId444" Type="http://schemas.openxmlformats.org/officeDocument/2006/relationships/hyperlink" Target="https://www.jivi.com.ar/ficha.php?id=36" TargetMode="External"/><Relationship Id="rId290" Type="http://schemas.openxmlformats.org/officeDocument/2006/relationships/hyperlink" Target="https://www.jivi.com.ar/ficha.php?id=1463" TargetMode="External"/><Relationship Id="rId304" Type="http://schemas.openxmlformats.org/officeDocument/2006/relationships/hyperlink" Target="https://www.jivi.com.ar/ficha.php?id=1481" TargetMode="External"/><Relationship Id="rId388" Type="http://schemas.openxmlformats.org/officeDocument/2006/relationships/hyperlink" Target="https://www.jivi.com.ar/ficha.php?id=1589" TargetMode="External"/><Relationship Id="rId511" Type="http://schemas.openxmlformats.org/officeDocument/2006/relationships/hyperlink" Target="https://www.jivi.com.ar/ficha.php?id=1070" TargetMode="External"/><Relationship Id="rId609" Type="http://schemas.openxmlformats.org/officeDocument/2006/relationships/hyperlink" Target="https://www.jivi.com.ar/ficha.php?id=2070" TargetMode="External"/><Relationship Id="rId85" Type="http://schemas.openxmlformats.org/officeDocument/2006/relationships/hyperlink" Target="https://www.jivi.com.ar/ficha.php?id=171" TargetMode="External"/><Relationship Id="rId150" Type="http://schemas.openxmlformats.org/officeDocument/2006/relationships/hyperlink" Target="https://www.jivi.com.ar/ficha.php?id=364" TargetMode="External"/><Relationship Id="rId595" Type="http://schemas.openxmlformats.org/officeDocument/2006/relationships/hyperlink" Target="https://www.jivi.com.ar/ficha.php?id=2058" TargetMode="External"/><Relationship Id="rId248" Type="http://schemas.openxmlformats.org/officeDocument/2006/relationships/hyperlink" Target="https://www.jivi.com.ar/ficha.php?id=1111" TargetMode="External"/><Relationship Id="rId455" Type="http://schemas.openxmlformats.org/officeDocument/2006/relationships/hyperlink" Target="https://www.jivi.com.ar/ficha.php?id=1456" TargetMode="External"/><Relationship Id="rId12" Type="http://schemas.openxmlformats.org/officeDocument/2006/relationships/hyperlink" Target="https://www.jivi.com.ar/ficha.php?id=164" TargetMode="External"/><Relationship Id="rId108" Type="http://schemas.openxmlformats.org/officeDocument/2006/relationships/hyperlink" Target="https://www.jivi.com.ar/ficha.php?id=534" TargetMode="External"/><Relationship Id="rId315" Type="http://schemas.openxmlformats.org/officeDocument/2006/relationships/hyperlink" Target="https://www.jivi.com.ar/ficha.php?id=1499" TargetMode="External"/><Relationship Id="rId522" Type="http://schemas.openxmlformats.org/officeDocument/2006/relationships/hyperlink" Target="https://www.jivi.com.ar/ficha.php?id=1491" TargetMode="External"/><Relationship Id="rId96" Type="http://schemas.openxmlformats.org/officeDocument/2006/relationships/hyperlink" Target="https://www.jivi.com.ar/ficha.php?id=48" TargetMode="External"/><Relationship Id="rId161" Type="http://schemas.openxmlformats.org/officeDocument/2006/relationships/hyperlink" Target="https://www.jivi.com.ar/ficha.php?id=1116" TargetMode="External"/><Relationship Id="rId399" Type="http://schemas.openxmlformats.org/officeDocument/2006/relationships/hyperlink" Target="https://www.jivi.com.ar/ficha.php?id=1701" TargetMode="External"/><Relationship Id="rId259" Type="http://schemas.openxmlformats.org/officeDocument/2006/relationships/hyperlink" Target="https://www.jivi.com.ar/ficha.php?id=1419" TargetMode="External"/><Relationship Id="rId466" Type="http://schemas.openxmlformats.org/officeDocument/2006/relationships/hyperlink" Target="https://www.jivi.com.ar/ficha.php?id=1731" TargetMode="External"/><Relationship Id="rId23" Type="http://schemas.openxmlformats.org/officeDocument/2006/relationships/hyperlink" Target="https://www.jivi.com.ar/ficha.php?id=103" TargetMode="External"/><Relationship Id="rId119" Type="http://schemas.openxmlformats.org/officeDocument/2006/relationships/hyperlink" Target="https://www.jivi.com.ar/ficha.php?id=846" TargetMode="External"/><Relationship Id="rId326" Type="http://schemas.openxmlformats.org/officeDocument/2006/relationships/hyperlink" Target="https://www.jivi.com.ar/ficha.php?id=1516" TargetMode="External"/><Relationship Id="rId533" Type="http://schemas.openxmlformats.org/officeDocument/2006/relationships/hyperlink" Target="https://www.jivi.com.ar/ficha.php?id=1864" TargetMode="External"/><Relationship Id="rId172" Type="http://schemas.openxmlformats.org/officeDocument/2006/relationships/hyperlink" Target="https://www.jivi.com.ar/ficha.php?id=488" TargetMode="External"/><Relationship Id="rId477" Type="http://schemas.openxmlformats.org/officeDocument/2006/relationships/hyperlink" Target="https://www.jivi.com.ar/ficha.php?id=1747" TargetMode="External"/><Relationship Id="rId600" Type="http://schemas.openxmlformats.org/officeDocument/2006/relationships/hyperlink" Target="https://www.jivi.com.ar/ficha.php?id=2062" TargetMode="External"/><Relationship Id="rId337" Type="http://schemas.openxmlformats.org/officeDocument/2006/relationships/hyperlink" Target="https://www.jivi.com.ar/ficha.php?id=1541" TargetMode="External"/><Relationship Id="rId34" Type="http://schemas.openxmlformats.org/officeDocument/2006/relationships/hyperlink" Target="https://www.jivi.com.ar/ficha.php?id=114" TargetMode="External"/><Relationship Id="rId544" Type="http://schemas.openxmlformats.org/officeDocument/2006/relationships/hyperlink" Target="https://www.jivi.com.ar/ficha.php?id=1579" TargetMode="External"/><Relationship Id="rId183" Type="http://schemas.openxmlformats.org/officeDocument/2006/relationships/hyperlink" Target="https://www.jivi.com.ar/ficha.php?id=1219" TargetMode="External"/><Relationship Id="rId390" Type="http://schemas.openxmlformats.org/officeDocument/2006/relationships/hyperlink" Target="https://www.jivi.com.ar/ficha.php?id=1591" TargetMode="External"/><Relationship Id="rId404" Type="http://schemas.openxmlformats.org/officeDocument/2006/relationships/hyperlink" Target="https://www.jivi.com.ar/ficha.php?id=1459" TargetMode="External"/><Relationship Id="rId611" Type="http://schemas.openxmlformats.org/officeDocument/2006/relationships/hyperlink" Target="https://www.jivi.com.ar/ficha.php?id=1266" TargetMode="External"/><Relationship Id="rId250" Type="http://schemas.openxmlformats.org/officeDocument/2006/relationships/hyperlink" Target="https://www.jivi.com.ar/ficha.php?id=376" TargetMode="External"/><Relationship Id="rId488" Type="http://schemas.openxmlformats.org/officeDocument/2006/relationships/hyperlink" Target="https://www.jivi.com.ar/ficha.php?id=1777" TargetMode="External"/><Relationship Id="rId45" Type="http://schemas.openxmlformats.org/officeDocument/2006/relationships/hyperlink" Target="https://www.jivi.com.ar/ficha.php?id=714" TargetMode="External"/><Relationship Id="rId110" Type="http://schemas.openxmlformats.org/officeDocument/2006/relationships/hyperlink" Target="https://www.jivi.com.ar/ficha.php?id=215" TargetMode="External"/><Relationship Id="rId348" Type="http://schemas.openxmlformats.org/officeDocument/2006/relationships/hyperlink" Target="https://www.jivi.com.ar/ficha.php?id=1554" TargetMode="External"/><Relationship Id="rId555" Type="http://schemas.openxmlformats.org/officeDocument/2006/relationships/hyperlink" Target="https://www.jivi.com.ar/ficha.php?id=2002" TargetMode="External"/><Relationship Id="rId194" Type="http://schemas.openxmlformats.org/officeDocument/2006/relationships/hyperlink" Target="https://www.jivi.com.ar/ficha.php?id=883" TargetMode="External"/><Relationship Id="rId208" Type="http://schemas.openxmlformats.org/officeDocument/2006/relationships/hyperlink" Target="https://www.jivi.com.ar/ficha.php?id=1303" TargetMode="External"/><Relationship Id="rId415" Type="http://schemas.openxmlformats.org/officeDocument/2006/relationships/hyperlink" Target="https://www.jivi.com.ar/ficha.php?id=1618" TargetMode="External"/><Relationship Id="rId622" Type="http://schemas.openxmlformats.org/officeDocument/2006/relationships/hyperlink" Target="https://www.jivi.com.ar/ficha.php?id=698" TargetMode="External"/><Relationship Id="rId261" Type="http://schemas.openxmlformats.org/officeDocument/2006/relationships/hyperlink" Target="https://www.jivi.com.ar/ficha.php?id=1281" TargetMode="External"/><Relationship Id="rId499" Type="http://schemas.openxmlformats.org/officeDocument/2006/relationships/hyperlink" Target="https://www.jivi.com.ar/ficha.php?id=1308" TargetMode="External"/><Relationship Id="rId56" Type="http://schemas.openxmlformats.org/officeDocument/2006/relationships/hyperlink" Target="https://www.jivi.com.ar/ficha.php?id=122" TargetMode="External"/><Relationship Id="rId359" Type="http://schemas.openxmlformats.org/officeDocument/2006/relationships/hyperlink" Target="https://www.jivi.com.ar/ficha.php?id=790" TargetMode="External"/><Relationship Id="rId566" Type="http://schemas.openxmlformats.org/officeDocument/2006/relationships/hyperlink" Target="https://www.jivi.com.ar/ficha.php?id=2011" TargetMode="External"/><Relationship Id="rId121" Type="http://schemas.openxmlformats.org/officeDocument/2006/relationships/hyperlink" Target="https://www.jivi.com.ar/ficha.php?id=854" TargetMode="External"/><Relationship Id="rId219" Type="http://schemas.openxmlformats.org/officeDocument/2006/relationships/hyperlink" Target="https://www.jivi.com.ar/ficha.php?id=1347" TargetMode="External"/><Relationship Id="rId426" Type="http://schemas.openxmlformats.org/officeDocument/2006/relationships/hyperlink" Target="https://www.jivi.com.ar/ficha.php?id=1641" TargetMode="External"/><Relationship Id="rId633" Type="http://schemas.openxmlformats.org/officeDocument/2006/relationships/hyperlink" Target="https://www.jivi.com.ar/ficha.php?id=1279" TargetMode="External"/><Relationship Id="rId67" Type="http://schemas.openxmlformats.org/officeDocument/2006/relationships/hyperlink" Target="https://www.jivi.com.ar/ficha.php?id=548" TargetMode="External"/><Relationship Id="rId272" Type="http://schemas.openxmlformats.org/officeDocument/2006/relationships/hyperlink" Target="https://www.jivi.com.ar/ficha.php?id=1437" TargetMode="External"/><Relationship Id="rId577" Type="http://schemas.openxmlformats.org/officeDocument/2006/relationships/hyperlink" Target="https://www.jivi.com.ar/ficha.php?id=2040" TargetMode="External"/><Relationship Id="rId132" Type="http://schemas.openxmlformats.org/officeDocument/2006/relationships/hyperlink" Target="https://www.jivi.com.ar/ficha.php?id=948" TargetMode="External"/><Relationship Id="rId437" Type="http://schemas.openxmlformats.org/officeDocument/2006/relationships/hyperlink" Target="https://www.jivi.com.ar/ficha.php?id=1684" TargetMode="External"/><Relationship Id="rId283" Type="http://schemas.openxmlformats.org/officeDocument/2006/relationships/hyperlink" Target="https://www.jivi.com.ar/ficha.php?id=1448" TargetMode="External"/><Relationship Id="rId490" Type="http://schemas.openxmlformats.org/officeDocument/2006/relationships/hyperlink" Target="https://www.jivi.com.ar/ficha.php?id=1709" TargetMode="External"/><Relationship Id="rId504" Type="http://schemas.openxmlformats.org/officeDocument/2006/relationships/hyperlink" Target="https://www.jivi.com.ar/ficha.php?id=1447" TargetMode="External"/><Relationship Id="rId78" Type="http://schemas.openxmlformats.org/officeDocument/2006/relationships/hyperlink" Target="https://www.jivi.com.ar/ficha.php?id=393" TargetMode="External"/><Relationship Id="rId143" Type="http://schemas.openxmlformats.org/officeDocument/2006/relationships/hyperlink" Target="https://www.jivi.com.ar/ficha.php?id=1023" TargetMode="External"/><Relationship Id="rId350" Type="http://schemas.openxmlformats.org/officeDocument/2006/relationships/hyperlink" Target="https://www.jivi.com.ar/ficha.php?id=1557" TargetMode="External"/><Relationship Id="rId588" Type="http://schemas.openxmlformats.org/officeDocument/2006/relationships/hyperlink" Target="https://www.jivi.com.ar/articulos.php?search=1066" TargetMode="External"/><Relationship Id="rId9" Type="http://schemas.openxmlformats.org/officeDocument/2006/relationships/hyperlink" Target="https://www.jivi.com.ar/ficha.php?id=42" TargetMode="External"/><Relationship Id="rId210" Type="http://schemas.openxmlformats.org/officeDocument/2006/relationships/hyperlink" Target="https://www.jivi.com.ar/ficha.php?id=1306" TargetMode="External"/><Relationship Id="rId448" Type="http://schemas.openxmlformats.org/officeDocument/2006/relationships/hyperlink" Target="https://www.jivi.com.ar/ficha.php?id=1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596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8"/>
      <c r="B1" s="865" t="s">
        <v>0</v>
      </c>
      <c r="C1" s="866"/>
      <c r="D1" s="866"/>
      <c r="E1" s="866"/>
      <c r="F1" s="866"/>
      <c r="G1" s="866"/>
      <c r="H1" s="866"/>
      <c r="I1" s="866"/>
      <c r="J1" s="866"/>
      <c r="K1" s="866"/>
      <c r="L1" s="866"/>
      <c r="M1" s="866"/>
      <c r="N1" s="866"/>
      <c r="O1" s="866"/>
      <c r="P1" s="866"/>
      <c r="Q1" s="866"/>
      <c r="R1" s="866"/>
      <c r="S1" s="866"/>
      <c r="T1" s="866"/>
      <c r="U1" s="866"/>
      <c r="V1" s="866"/>
      <c r="W1" s="867"/>
      <c r="X1" s="455">
        <v>1</v>
      </c>
      <c r="Y1" s="858" t="s">
        <v>1</v>
      </c>
      <c r="Z1" s="859"/>
      <c r="AA1" s="859"/>
      <c r="AB1" s="859"/>
      <c r="AC1" s="859"/>
      <c r="AD1" s="860"/>
      <c r="AE1" s="855" t="s">
        <v>2</v>
      </c>
      <c r="AF1" s="856"/>
      <c r="AG1" s="856"/>
      <c r="AH1" s="856"/>
      <c r="AI1" s="857"/>
      <c r="AJ1" s="853" t="s">
        <v>3</v>
      </c>
      <c r="AK1" s="54"/>
      <c r="AL1" s="54"/>
      <c r="AM1" s="52"/>
    </row>
    <row r="2" spans="1:39" ht="14.25" customHeight="1" x14ac:dyDescent="0.2">
      <c r="A2" s="18"/>
      <c r="B2" s="914" t="s">
        <v>980</v>
      </c>
      <c r="C2" s="915"/>
      <c r="D2" s="915"/>
      <c r="E2" s="915"/>
      <c r="F2" s="915"/>
      <c r="G2" s="915"/>
      <c r="H2" s="915"/>
      <c r="I2" s="915"/>
      <c r="J2" s="915"/>
      <c r="K2" s="915"/>
      <c r="L2" s="915"/>
      <c r="M2" s="915"/>
      <c r="N2" s="915"/>
      <c r="O2" s="915"/>
      <c r="P2" s="915"/>
      <c r="Q2" s="915"/>
      <c r="R2" s="915"/>
      <c r="S2" s="915"/>
      <c r="T2" s="915"/>
      <c r="U2" s="915"/>
      <c r="V2" s="916"/>
      <c r="W2" s="917"/>
      <c r="X2" s="456">
        <v>1098</v>
      </c>
      <c r="Y2" s="874" t="s">
        <v>4</v>
      </c>
      <c r="Z2" s="875"/>
      <c r="AA2" s="875"/>
      <c r="AB2" s="875"/>
      <c r="AC2" s="875"/>
      <c r="AD2" s="876"/>
      <c r="AE2" s="863" t="s">
        <v>5</v>
      </c>
      <c r="AF2" s="864"/>
      <c r="AG2" s="864"/>
      <c r="AH2" s="457"/>
      <c r="AI2" s="458"/>
      <c r="AJ2" s="854"/>
      <c r="AK2" s="169"/>
      <c r="AL2" s="169"/>
      <c r="AM2" s="52"/>
    </row>
    <row r="3" spans="1:39" ht="15.75" customHeight="1" x14ac:dyDescent="0.2">
      <c r="A3" s="18"/>
      <c r="B3" s="883"/>
      <c r="C3" s="884"/>
      <c r="D3" s="885"/>
      <c r="E3" s="907" t="s">
        <v>6</v>
      </c>
      <c r="F3" s="908"/>
      <c r="G3" s="908"/>
      <c r="H3" s="908"/>
      <c r="I3" s="908"/>
      <c r="J3" s="908"/>
      <c r="K3" s="908"/>
      <c r="L3" s="908"/>
      <c r="M3" s="908"/>
      <c r="N3" s="908"/>
      <c r="O3" s="908"/>
      <c r="P3" s="908"/>
      <c r="Q3" s="908"/>
      <c r="R3" s="908"/>
      <c r="S3" s="908"/>
      <c r="T3" s="908"/>
      <c r="U3" s="908"/>
      <c r="V3" s="909"/>
      <c r="W3" s="910"/>
      <c r="X3" s="868" t="s">
        <v>925</v>
      </c>
      <c r="Y3" s="869"/>
      <c r="Z3" s="869"/>
      <c r="AA3" s="869"/>
      <c r="AB3" s="869"/>
      <c r="AC3" s="869"/>
      <c r="AD3" s="870"/>
      <c r="AE3" s="861"/>
      <c r="AF3" s="862"/>
      <c r="AG3" s="862"/>
      <c r="AH3" s="862"/>
      <c r="AI3" s="862"/>
      <c r="AJ3" s="13"/>
      <c r="AK3" s="13"/>
      <c r="AL3" s="13"/>
      <c r="AM3" s="53"/>
    </row>
    <row r="4" spans="1:39" ht="21.75" customHeight="1" x14ac:dyDescent="0.2">
      <c r="A4" s="18"/>
      <c r="B4" s="886"/>
      <c r="C4" s="887"/>
      <c r="D4" s="888"/>
      <c r="E4" s="911" t="s">
        <v>7</v>
      </c>
      <c r="F4" s="912"/>
      <c r="G4" s="912"/>
      <c r="H4" s="912"/>
      <c r="I4" s="912"/>
      <c r="J4" s="912"/>
      <c r="K4" s="912"/>
      <c r="L4" s="912"/>
      <c r="M4" s="912"/>
      <c r="N4" s="912"/>
      <c r="O4" s="912"/>
      <c r="P4" s="912"/>
      <c r="Q4" s="912"/>
      <c r="R4" s="912"/>
      <c r="S4" s="912"/>
      <c r="T4" s="912"/>
      <c r="U4" s="912"/>
      <c r="V4" s="912"/>
      <c r="W4" s="913"/>
      <c r="X4" s="871"/>
      <c r="Y4" s="872"/>
      <c r="Z4" s="872"/>
      <c r="AA4" s="872"/>
      <c r="AB4" s="872"/>
      <c r="AC4" s="872"/>
      <c r="AD4" s="873"/>
      <c r="AE4" s="862"/>
      <c r="AF4" s="862"/>
      <c r="AG4" s="862"/>
      <c r="AH4" s="862"/>
      <c r="AI4" s="862"/>
      <c r="AJ4" s="13"/>
      <c r="AK4" s="13"/>
      <c r="AL4" s="13"/>
      <c r="AM4" s="53"/>
    </row>
    <row r="5" spans="1:39" ht="23.25" customHeight="1" x14ac:dyDescent="0.2">
      <c r="A5" s="18"/>
      <c r="B5" s="889"/>
      <c r="C5" s="890"/>
      <c r="D5" s="891"/>
      <c r="E5" s="892" t="s">
        <v>8</v>
      </c>
      <c r="F5" s="893"/>
      <c r="G5" s="893"/>
      <c r="H5" s="893"/>
      <c r="I5" s="893"/>
      <c r="J5" s="893"/>
      <c r="K5" s="893"/>
      <c r="L5" s="893"/>
      <c r="M5" s="893"/>
      <c r="N5" s="893"/>
      <c r="O5" s="893"/>
      <c r="P5" s="893"/>
      <c r="Q5" s="893"/>
      <c r="R5" s="893"/>
      <c r="S5" s="893"/>
      <c r="T5" s="893"/>
      <c r="U5" s="893"/>
      <c r="V5" s="893"/>
      <c r="W5" s="894"/>
      <c r="X5" s="898"/>
      <c r="Y5" s="899"/>
      <c r="Z5" s="899"/>
      <c r="AA5" s="899"/>
      <c r="AB5" s="899"/>
      <c r="AC5" s="899"/>
      <c r="AD5" s="900"/>
      <c r="AE5" s="921"/>
      <c r="AF5" s="921"/>
      <c r="AG5" s="921"/>
      <c r="AH5" s="921"/>
      <c r="AI5" s="921"/>
      <c r="AJ5" s="13"/>
      <c r="AK5" s="13"/>
      <c r="AL5" s="13"/>
      <c r="AM5" s="53"/>
    </row>
    <row r="6" spans="1:39" ht="12" customHeight="1" x14ac:dyDescent="0.2">
      <c r="A6" s="18"/>
      <c r="B6" s="895" t="s">
        <v>9</v>
      </c>
      <c r="C6" s="896"/>
      <c r="D6" s="896"/>
      <c r="E6" s="896"/>
      <c r="F6" s="896"/>
      <c r="G6" s="896"/>
      <c r="H6" s="896"/>
      <c r="I6" s="896"/>
      <c r="J6" s="896"/>
      <c r="K6" s="896"/>
      <c r="L6" s="896"/>
      <c r="M6" s="896"/>
      <c r="N6" s="896"/>
      <c r="O6" s="896"/>
      <c r="P6" s="896"/>
      <c r="Q6" s="896"/>
      <c r="R6" s="896"/>
      <c r="S6" s="896"/>
      <c r="T6" s="896"/>
      <c r="U6" s="896"/>
      <c r="V6" s="896"/>
      <c r="W6" s="897"/>
      <c r="X6" s="901"/>
      <c r="Y6" s="902"/>
      <c r="Z6" s="902"/>
      <c r="AA6" s="902"/>
      <c r="AB6" s="902"/>
      <c r="AC6" s="902"/>
      <c r="AD6" s="903"/>
      <c r="AE6" s="921"/>
      <c r="AF6" s="921"/>
      <c r="AG6" s="921"/>
      <c r="AH6" s="921"/>
      <c r="AI6" s="921"/>
      <c r="AJ6" s="13"/>
      <c r="AK6" s="13"/>
      <c r="AL6" s="13"/>
      <c r="AM6" s="53"/>
    </row>
    <row r="7" spans="1:39" ht="13.5" customHeight="1" x14ac:dyDescent="0.2">
      <c r="A7" s="18"/>
      <c r="B7" s="918" t="s">
        <v>10</v>
      </c>
      <c r="C7" s="919"/>
      <c r="D7" s="919"/>
      <c r="E7" s="919"/>
      <c r="F7" s="919"/>
      <c r="G7" s="919"/>
      <c r="H7" s="919"/>
      <c r="I7" s="919"/>
      <c r="J7" s="919"/>
      <c r="K7" s="919"/>
      <c r="L7" s="919"/>
      <c r="M7" s="919"/>
      <c r="N7" s="919"/>
      <c r="O7" s="919"/>
      <c r="P7" s="919"/>
      <c r="Q7" s="919"/>
      <c r="R7" s="919"/>
      <c r="S7" s="919"/>
      <c r="T7" s="919"/>
      <c r="U7" s="919"/>
      <c r="V7" s="919"/>
      <c r="W7" s="920"/>
      <c r="X7" s="904"/>
      <c r="Y7" s="905"/>
      <c r="Z7" s="905"/>
      <c r="AA7" s="905"/>
      <c r="AB7" s="905"/>
      <c r="AC7" s="905"/>
      <c r="AD7" s="906"/>
      <c r="AE7" s="921"/>
      <c r="AF7" s="921"/>
      <c r="AG7" s="921"/>
      <c r="AH7" s="921"/>
      <c r="AI7" s="921"/>
    </row>
    <row r="8" spans="1:39" ht="14.25" customHeight="1" x14ac:dyDescent="0.2">
      <c r="A8" s="18"/>
      <c r="B8" s="654" t="s">
        <v>11</v>
      </c>
      <c r="C8" s="925" t="s">
        <v>12</v>
      </c>
      <c r="D8" s="926"/>
      <c r="E8" s="926"/>
      <c r="F8" s="764" t="s">
        <v>13</v>
      </c>
      <c r="G8" s="764" t="s">
        <v>13</v>
      </c>
      <c r="H8" s="657" t="s">
        <v>790</v>
      </c>
      <c r="I8" s="657"/>
      <c r="J8" s="658"/>
      <c r="K8" s="658"/>
      <c r="L8" s="658"/>
      <c r="M8" s="658"/>
      <c r="N8" s="658"/>
      <c r="O8" s="658"/>
      <c r="P8" s="658"/>
      <c r="Q8" s="658"/>
      <c r="R8" s="658"/>
      <c r="S8" s="658"/>
      <c r="T8" s="658"/>
      <c r="U8" s="658"/>
      <c r="V8" s="658"/>
      <c r="W8" s="658"/>
      <c r="X8" s="678" t="s">
        <v>14</v>
      </c>
      <c r="Y8" s="679"/>
      <c r="Z8" s="679"/>
      <c r="AA8" s="680"/>
      <c r="AB8" s="676" t="s">
        <v>15</v>
      </c>
      <c r="AC8" s="877" t="s">
        <v>16</v>
      </c>
      <c r="AD8" s="878"/>
      <c r="AE8" s="878"/>
      <c r="AF8" s="878"/>
      <c r="AG8" s="878"/>
      <c r="AH8" s="878"/>
      <c r="AI8" s="879"/>
    </row>
    <row r="9" spans="1:39" ht="11.25" customHeight="1" x14ac:dyDescent="0.2">
      <c r="A9" s="18"/>
      <c r="B9" s="654"/>
      <c r="C9" s="926"/>
      <c r="D9" s="926"/>
      <c r="E9" s="926"/>
      <c r="F9" s="765"/>
      <c r="G9" s="765"/>
      <c r="H9" s="453"/>
      <c r="I9" s="451" t="s">
        <v>285</v>
      </c>
      <c r="J9" s="453"/>
      <c r="K9" s="451" t="s">
        <v>17</v>
      </c>
      <c r="L9" s="454"/>
      <c r="M9" s="454" t="s">
        <v>18</v>
      </c>
      <c r="N9" s="454"/>
      <c r="O9" s="451" t="s">
        <v>19</v>
      </c>
      <c r="P9" s="454"/>
      <c r="Q9" s="454" t="s">
        <v>286</v>
      </c>
      <c r="R9" s="454"/>
      <c r="S9" s="454" t="s">
        <v>20</v>
      </c>
      <c r="T9" s="454"/>
      <c r="U9" s="454" t="s">
        <v>21</v>
      </c>
      <c r="V9" s="454"/>
      <c r="W9" s="454" t="s">
        <v>22</v>
      </c>
      <c r="X9" s="681"/>
      <c r="Y9" s="682"/>
      <c r="Z9" s="682"/>
      <c r="AA9" s="683"/>
      <c r="AB9" s="677"/>
      <c r="AC9" s="880"/>
      <c r="AD9" s="881"/>
      <c r="AE9" s="881"/>
      <c r="AF9" s="881"/>
      <c r="AG9" s="881"/>
      <c r="AH9" s="881"/>
      <c r="AI9" s="882"/>
    </row>
    <row r="10" spans="1:39" ht="12.6" customHeight="1" x14ac:dyDescent="0.2">
      <c r="A10" s="18"/>
      <c r="B10" s="922" t="s">
        <v>679</v>
      </c>
      <c r="C10" s="923"/>
      <c r="D10" s="923"/>
      <c r="E10" s="924"/>
      <c r="F10" s="308">
        <v>557</v>
      </c>
      <c r="G10" s="301">
        <f t="shared" ref="G10" si="0">+F10*$X$1</f>
        <v>557</v>
      </c>
      <c r="H10" s="460"/>
      <c r="I10" s="640"/>
      <c r="J10" s="84">
        <f>F10+120</f>
        <v>677</v>
      </c>
      <c r="K10" s="295"/>
      <c r="L10" s="100"/>
      <c r="M10" s="295"/>
      <c r="N10" s="638">
        <f>F10+110</f>
        <v>667</v>
      </c>
      <c r="O10" s="278">
        <f t="shared" ref="O10" si="1">+N10*$X$1</f>
        <v>667</v>
      </c>
      <c r="P10" s="638">
        <f>F10+100</f>
        <v>657</v>
      </c>
      <c r="Q10" s="278">
        <f t="shared" ref="Q10" si="2">+P10*$X$1</f>
        <v>657</v>
      </c>
      <c r="R10" s="638">
        <f>F10+80</f>
        <v>637</v>
      </c>
      <c r="S10" s="278">
        <f t="shared" ref="S10" si="3">+R10*$X$1</f>
        <v>637</v>
      </c>
      <c r="T10" s="638">
        <f>F10+65</f>
        <v>622</v>
      </c>
      <c r="U10" s="278">
        <f t="shared" ref="U10" si="4">+T10*$X$1</f>
        <v>622</v>
      </c>
      <c r="V10" s="638">
        <f>F10+56</f>
        <v>613</v>
      </c>
      <c r="W10" s="278">
        <f t="shared" ref="W10" si="5">+V10*$X$1</f>
        <v>613</v>
      </c>
      <c r="X10" s="128"/>
      <c r="Y10" s="128"/>
      <c r="Z10" s="128"/>
      <c r="AA10" s="128"/>
      <c r="AB10" s="386">
        <v>13</v>
      </c>
      <c r="AE10" s="60"/>
      <c r="AF10" s="849" t="s">
        <v>824</v>
      </c>
      <c r="AG10" s="849"/>
      <c r="AH10" s="849"/>
    </row>
    <row r="11" spans="1:39" ht="12.6" customHeight="1" x14ac:dyDescent="0.2">
      <c r="A11" s="18"/>
      <c r="B11" s="739" t="s">
        <v>800</v>
      </c>
      <c r="C11" s="772"/>
      <c r="D11" s="772"/>
      <c r="E11" s="773"/>
      <c r="F11" s="279">
        <v>1063</v>
      </c>
      <c r="G11" s="300">
        <f t="shared" ref="G11" si="6">+F11*$X$1</f>
        <v>1063</v>
      </c>
      <c r="H11" s="271"/>
      <c r="I11" s="331"/>
      <c r="J11" s="87">
        <f>F11+120</f>
        <v>1183</v>
      </c>
      <c r="K11" s="279"/>
      <c r="L11" s="440"/>
      <c r="M11" s="279"/>
      <c r="N11" s="440">
        <f>F11+110</f>
        <v>1173</v>
      </c>
      <c r="O11" s="279">
        <f t="shared" ref="O11:O12" si="7">+N11*$X$1</f>
        <v>1173</v>
      </c>
      <c r="P11" s="440">
        <f>F11+100</f>
        <v>1163</v>
      </c>
      <c r="Q11" s="279">
        <f t="shared" ref="Q11:Q13" si="8">+P11*$X$1</f>
        <v>1163</v>
      </c>
      <c r="R11" s="440">
        <f>F11+80</f>
        <v>1143</v>
      </c>
      <c r="S11" s="279">
        <f t="shared" ref="S11:S12" si="9">+R11*$X$1</f>
        <v>1143</v>
      </c>
      <c r="T11" s="440">
        <f>F11+65</f>
        <v>1128</v>
      </c>
      <c r="U11" s="279">
        <f t="shared" ref="U11:U12" si="10">+T11*$X$1</f>
        <v>1128</v>
      </c>
      <c r="V11" s="440">
        <f>F11+56</f>
        <v>1119</v>
      </c>
      <c r="W11" s="279">
        <f t="shared" ref="W11:W12" si="11">+V11*$X$1</f>
        <v>1119</v>
      </c>
      <c r="X11" s="128"/>
      <c r="Y11" s="128"/>
      <c r="Z11" s="128"/>
      <c r="AA11" s="128"/>
      <c r="AB11" s="386">
        <v>14</v>
      </c>
      <c r="AE11" s="60"/>
      <c r="AF11" s="849" t="s">
        <v>23</v>
      </c>
      <c r="AG11" s="849"/>
      <c r="AH11" s="849"/>
    </row>
    <row r="12" spans="1:39" ht="12.6" customHeight="1" x14ac:dyDescent="0.2">
      <c r="A12" s="18"/>
      <c r="B12" s="746" t="s">
        <v>678</v>
      </c>
      <c r="C12" s="691"/>
      <c r="D12" s="691"/>
      <c r="E12" s="691"/>
      <c r="F12" s="279">
        <v>1163</v>
      </c>
      <c r="G12" s="301">
        <f t="shared" ref="G12:G13" si="12">+F12*$X$1</f>
        <v>1163</v>
      </c>
      <c r="H12" s="272"/>
      <c r="I12" s="330"/>
      <c r="J12" s="70"/>
      <c r="K12" s="278"/>
      <c r="L12" s="638"/>
      <c r="M12" s="278"/>
      <c r="N12" s="638">
        <f>F12+110</f>
        <v>1273</v>
      </c>
      <c r="O12" s="278">
        <f t="shared" si="7"/>
        <v>1273</v>
      </c>
      <c r="P12" s="638">
        <f>F12+100</f>
        <v>1263</v>
      </c>
      <c r="Q12" s="278">
        <f t="shared" si="8"/>
        <v>1263</v>
      </c>
      <c r="R12" s="638">
        <f>F12+80</f>
        <v>1243</v>
      </c>
      <c r="S12" s="278">
        <f t="shared" si="9"/>
        <v>1243</v>
      </c>
      <c r="T12" s="638">
        <f>F12+65</f>
        <v>1228</v>
      </c>
      <c r="U12" s="278">
        <f t="shared" si="10"/>
        <v>1228</v>
      </c>
      <c r="V12" s="638">
        <f>F12+56</f>
        <v>1219</v>
      </c>
      <c r="W12" s="278">
        <f t="shared" si="11"/>
        <v>1219</v>
      </c>
      <c r="X12" s="128"/>
      <c r="Y12" s="128"/>
      <c r="Z12" s="128"/>
      <c r="AA12" s="128"/>
      <c r="AB12" s="386">
        <v>15</v>
      </c>
      <c r="AE12" s="60"/>
      <c r="AF12" s="849" t="s">
        <v>398</v>
      </c>
      <c r="AG12" s="849"/>
      <c r="AH12" s="849"/>
    </row>
    <row r="13" spans="1:39" ht="12.6" customHeight="1" x14ac:dyDescent="0.2">
      <c r="A13" s="18"/>
      <c r="B13" s="739" t="s">
        <v>400</v>
      </c>
      <c r="C13" s="772"/>
      <c r="D13" s="772"/>
      <c r="E13" s="773"/>
      <c r="F13" s="279">
        <v>510</v>
      </c>
      <c r="G13" s="300">
        <f t="shared" si="12"/>
        <v>510</v>
      </c>
      <c r="H13" s="271"/>
      <c r="I13" s="331"/>
      <c r="J13" s="440">
        <f>F13+200</f>
        <v>710</v>
      </c>
      <c r="K13" s="279">
        <f t="shared" ref="K13" si="13">+J13*$X$1</f>
        <v>710</v>
      </c>
      <c r="L13" s="440">
        <f>F13+150</f>
        <v>660</v>
      </c>
      <c r="M13" s="279">
        <f t="shared" ref="M13" si="14">+L13*$X$1</f>
        <v>660</v>
      </c>
      <c r="N13" s="440">
        <f>F13+100</f>
        <v>610</v>
      </c>
      <c r="O13" s="279">
        <f>+N13*$X$1</f>
        <v>610</v>
      </c>
      <c r="P13" s="440">
        <f>F13+90</f>
        <v>600</v>
      </c>
      <c r="Q13" s="279">
        <f t="shared" si="8"/>
        <v>600</v>
      </c>
      <c r="R13" s="440">
        <f>F13+70</f>
        <v>580</v>
      </c>
      <c r="S13" s="279">
        <f>+R13*$X$1</f>
        <v>580</v>
      </c>
      <c r="T13" s="440">
        <f>F13+56</f>
        <v>566</v>
      </c>
      <c r="U13" s="279">
        <f t="shared" ref="U13:U14" si="15">+T13*$X$1</f>
        <v>566</v>
      </c>
      <c r="V13" s="440"/>
      <c r="W13" s="279"/>
      <c r="X13" s="128"/>
      <c r="Y13" s="128"/>
      <c r="Z13" s="128"/>
      <c r="AA13" s="128"/>
      <c r="AB13" s="386">
        <v>17</v>
      </c>
      <c r="AE13" s="60"/>
      <c r="AF13" s="849" t="s">
        <v>359</v>
      </c>
      <c r="AG13" s="849"/>
      <c r="AH13" s="849"/>
      <c r="AI13" s="60"/>
    </row>
    <row r="14" spans="1:39" ht="12.6" customHeight="1" x14ac:dyDescent="0.2">
      <c r="A14" s="18"/>
      <c r="B14" s="708" t="s">
        <v>693</v>
      </c>
      <c r="C14" s="761"/>
      <c r="D14" s="761"/>
      <c r="E14" s="762"/>
      <c r="F14" s="368">
        <f>26.2*X2</f>
        <v>28767.599999999999</v>
      </c>
      <c r="G14" s="301">
        <f>+F14*$X$1</f>
        <v>28767.599999999999</v>
      </c>
      <c r="H14" s="473">
        <f>F14+600</f>
        <v>29367.599999999999</v>
      </c>
      <c r="I14" s="278">
        <f t="shared" ref="I14" si="16">+H14*$X$1</f>
        <v>29367.599999999999</v>
      </c>
      <c r="J14" s="638">
        <f>F14+250</f>
        <v>29017.599999999999</v>
      </c>
      <c r="K14" s="278">
        <f t="shared" ref="K14" si="17">+J14*$X$1</f>
        <v>29017.599999999999</v>
      </c>
      <c r="L14" s="638">
        <f>F14+210</f>
        <v>28977.599999999999</v>
      </c>
      <c r="M14" s="278">
        <f t="shared" ref="M14" si="18">+L14*$X$1</f>
        <v>28977.599999999999</v>
      </c>
      <c r="N14" s="638">
        <f>F14+180</f>
        <v>28947.599999999999</v>
      </c>
      <c r="O14" s="278">
        <f t="shared" ref="O14" si="19">+N14*$X$1</f>
        <v>28947.599999999999</v>
      </c>
      <c r="P14" s="638">
        <f>F14+140</f>
        <v>28907.599999999999</v>
      </c>
      <c r="Q14" s="278">
        <f t="shared" ref="Q14" si="20">+P14*$X$1</f>
        <v>28907.599999999999</v>
      </c>
      <c r="R14" s="638">
        <f>F14+110</f>
        <v>28877.599999999999</v>
      </c>
      <c r="S14" s="278">
        <f t="shared" ref="S14" si="21">+R14*$X$1</f>
        <v>28877.599999999999</v>
      </c>
      <c r="T14" s="638">
        <f>F14+90</f>
        <v>28857.599999999999</v>
      </c>
      <c r="U14" s="278">
        <f t="shared" si="15"/>
        <v>28857.599999999999</v>
      </c>
      <c r="V14" s="638"/>
      <c r="W14" s="278"/>
      <c r="X14" s="652"/>
      <c r="Y14" s="732"/>
      <c r="Z14" s="732"/>
      <c r="AA14" s="653"/>
      <c r="AB14" s="386">
        <v>18</v>
      </c>
      <c r="AE14" s="71"/>
      <c r="AF14" s="849" t="s">
        <v>360</v>
      </c>
      <c r="AG14" s="849"/>
      <c r="AH14" s="849"/>
      <c r="AI14" s="509"/>
    </row>
    <row r="15" spans="1:39" ht="12.6" customHeight="1" x14ac:dyDescent="0.2">
      <c r="A15" s="18"/>
      <c r="B15" s="708" t="s">
        <v>981</v>
      </c>
      <c r="C15" s="761"/>
      <c r="D15" s="761"/>
      <c r="E15" s="762"/>
      <c r="F15" s="279">
        <v>6885</v>
      </c>
      <c r="G15" s="300">
        <f t="shared" ref="G15" si="22">+F15*$X$1</f>
        <v>6885</v>
      </c>
      <c r="H15" s="474">
        <f>F15+600</f>
        <v>7485</v>
      </c>
      <c r="I15" s="279">
        <f t="shared" ref="I15" si="23">+H15*$X$1</f>
        <v>7485</v>
      </c>
      <c r="J15" s="440">
        <f>F15+250</f>
        <v>7135</v>
      </c>
      <c r="K15" s="279">
        <f t="shared" ref="K15" si="24">+J15*$X$1</f>
        <v>7135</v>
      </c>
      <c r="L15" s="440">
        <f>F15+210</f>
        <v>7095</v>
      </c>
      <c r="M15" s="279">
        <f t="shared" ref="M15" si="25">+L15*$X$1</f>
        <v>7095</v>
      </c>
      <c r="N15" s="440">
        <f>F15+180</f>
        <v>7065</v>
      </c>
      <c r="O15" s="279">
        <f t="shared" ref="O15" si="26">+N15*$X$1</f>
        <v>7065</v>
      </c>
      <c r="P15" s="440">
        <f>F15+140</f>
        <v>7025</v>
      </c>
      <c r="Q15" s="279">
        <f t="shared" ref="Q15" si="27">+P15*$X$1</f>
        <v>7025</v>
      </c>
      <c r="R15" s="440">
        <f>F15+110</f>
        <v>6995</v>
      </c>
      <c r="S15" s="279">
        <f t="shared" ref="S15" si="28">+R15*$X$1</f>
        <v>6995</v>
      </c>
      <c r="T15" s="440">
        <f>F15+90</f>
        <v>6975</v>
      </c>
      <c r="U15" s="279">
        <f t="shared" ref="U15" si="29">+T15*$X$1</f>
        <v>6975</v>
      </c>
      <c r="V15" s="440"/>
      <c r="W15" s="279"/>
      <c r="X15" s="652"/>
      <c r="Y15" s="732"/>
      <c r="Z15" s="732"/>
      <c r="AA15" s="653"/>
      <c r="AB15" s="386"/>
      <c r="AE15" s="71"/>
      <c r="AF15" s="651" t="s">
        <v>24</v>
      </c>
      <c r="AG15" s="651"/>
      <c r="AH15" s="651"/>
      <c r="AI15" s="651"/>
    </row>
    <row r="16" spans="1:39" ht="12.6" customHeight="1" x14ac:dyDescent="0.2">
      <c r="A16" s="18"/>
      <c r="B16" s="742" t="s">
        <v>918</v>
      </c>
      <c r="C16" s="734"/>
      <c r="D16" s="734"/>
      <c r="E16" s="735"/>
      <c r="F16" s="369">
        <f>11*X2</f>
        <v>12078</v>
      </c>
      <c r="G16" s="278">
        <f>+F16*$X$1</f>
        <v>12078</v>
      </c>
      <c r="H16" s="272"/>
      <c r="I16" s="330"/>
      <c r="J16" s="607"/>
      <c r="K16" s="278"/>
      <c r="L16" s="607">
        <f>F16+210</f>
        <v>12288</v>
      </c>
      <c r="M16" s="278">
        <f t="shared" ref="M16" si="30">+L16*$X$1</f>
        <v>12288</v>
      </c>
      <c r="N16" s="607">
        <f>F16+180</f>
        <v>12258</v>
      </c>
      <c r="O16" s="278">
        <f t="shared" ref="O16" si="31">+N16*$X$1</f>
        <v>12258</v>
      </c>
      <c r="P16" s="607">
        <f>F16+140</f>
        <v>12218</v>
      </c>
      <c r="Q16" s="278">
        <f t="shared" ref="Q16" si="32">+P16*$X$1</f>
        <v>12218</v>
      </c>
      <c r="R16" s="607">
        <f>F16+110</f>
        <v>12188</v>
      </c>
      <c r="S16" s="278">
        <f t="shared" ref="S16" si="33">+R16*$X$1</f>
        <v>12188</v>
      </c>
      <c r="T16" s="607">
        <f>F16+90</f>
        <v>12168</v>
      </c>
      <c r="U16" s="278">
        <f t="shared" ref="U16" si="34">+T16*$X$1</f>
        <v>12168</v>
      </c>
      <c r="V16" s="607"/>
      <c r="W16" s="278"/>
      <c r="X16" s="544"/>
      <c r="Y16" s="159"/>
      <c r="Z16" s="159"/>
      <c r="AA16" s="160"/>
      <c r="AB16" s="386">
        <v>22</v>
      </c>
      <c r="AE16" s="71"/>
      <c r="AF16" s="651" t="s">
        <v>865</v>
      </c>
      <c r="AG16" s="651"/>
      <c r="AH16" s="651"/>
      <c r="AI16" s="651"/>
      <c r="AK16" s="64"/>
    </row>
    <row r="17" spans="1:37" ht="12.6" customHeight="1" x14ac:dyDescent="0.2">
      <c r="A17" s="95"/>
      <c r="B17" s="739" t="s">
        <v>25</v>
      </c>
      <c r="C17" s="772"/>
      <c r="D17" s="772"/>
      <c r="E17" s="773"/>
      <c r="F17" s="368">
        <f>4.1*X2</f>
        <v>4501.7999999999993</v>
      </c>
      <c r="G17" s="300">
        <f>+F17*$X$1</f>
        <v>4501.7999999999993</v>
      </c>
      <c r="H17" s="445">
        <f>F17+600</f>
        <v>5101.7999999999993</v>
      </c>
      <c r="I17" s="279">
        <f t="shared" ref="I17:I18" si="35">+H17*$X$1</f>
        <v>5101.7999999999993</v>
      </c>
      <c r="J17" s="440"/>
      <c r="K17" s="281"/>
      <c r="L17" s="440"/>
      <c r="M17" s="279"/>
      <c r="N17" s="440"/>
      <c r="O17" s="279"/>
      <c r="P17" s="99"/>
      <c r="Q17" s="850" t="s">
        <v>148</v>
      </c>
      <c r="R17" s="851"/>
      <c r="S17" s="851"/>
      <c r="T17" s="851"/>
      <c r="U17" s="851"/>
      <c r="V17" s="851"/>
      <c r="W17" s="852"/>
      <c r="X17" s="652"/>
      <c r="Y17" s="732"/>
      <c r="Z17" s="732"/>
      <c r="AA17" s="653"/>
      <c r="AB17" s="386">
        <v>24</v>
      </c>
      <c r="AE17" s="71"/>
      <c r="AF17" s="651" t="s">
        <v>975</v>
      </c>
      <c r="AG17" s="651"/>
      <c r="AH17" s="651"/>
      <c r="AI17" s="651"/>
      <c r="AJ17" s="651"/>
    </row>
    <row r="18" spans="1:37" ht="12.6" customHeight="1" x14ac:dyDescent="0.2">
      <c r="A18" s="123"/>
      <c r="B18" s="742" t="s">
        <v>533</v>
      </c>
      <c r="C18" s="743"/>
      <c r="D18" s="743"/>
      <c r="E18" s="744"/>
      <c r="F18" s="369">
        <f>4.1*X2</f>
        <v>4501.7999999999993</v>
      </c>
      <c r="G18" s="301">
        <f>+F18*$X$1</f>
        <v>4501.7999999999993</v>
      </c>
      <c r="H18" s="315">
        <f>F18+600</f>
        <v>5101.7999999999993</v>
      </c>
      <c r="I18" s="278">
        <f t="shared" si="35"/>
        <v>5101.7999999999993</v>
      </c>
      <c r="J18" s="607"/>
      <c r="K18" s="280"/>
      <c r="L18" s="109"/>
      <c r="M18" s="280"/>
      <c r="N18" s="109">
        <f>F18+40</f>
        <v>4541.7999999999993</v>
      </c>
      <c r="O18" s="278"/>
      <c r="P18" s="272"/>
      <c r="Q18" s="927" t="s">
        <v>148</v>
      </c>
      <c r="R18" s="928"/>
      <c r="S18" s="928"/>
      <c r="T18" s="928"/>
      <c r="U18" s="928"/>
      <c r="V18" s="928"/>
      <c r="W18" s="929"/>
      <c r="X18" s="237"/>
      <c r="Y18" s="188"/>
      <c r="Z18" s="188"/>
      <c r="AA18" s="187"/>
      <c r="AB18" s="386">
        <v>25</v>
      </c>
      <c r="AE18" s="71"/>
      <c r="AF18" s="651" t="s">
        <v>567</v>
      </c>
      <c r="AG18" s="651"/>
      <c r="AH18" s="651"/>
      <c r="AI18" s="651"/>
      <c r="AJ18" s="651"/>
    </row>
    <row r="19" spans="1:37" ht="12.6" customHeight="1" x14ac:dyDescent="0.2">
      <c r="A19" s="122"/>
      <c r="B19" s="739" t="s">
        <v>26</v>
      </c>
      <c r="C19" s="772"/>
      <c r="D19" s="772"/>
      <c r="E19" s="773"/>
      <c r="F19" s="279"/>
      <c r="G19" s="328"/>
      <c r="H19" s="271"/>
      <c r="I19" s="331"/>
      <c r="J19" s="440"/>
      <c r="K19" s="281"/>
      <c r="L19" s="440"/>
      <c r="M19" s="279"/>
      <c r="N19" s="440"/>
      <c r="O19" s="279"/>
      <c r="P19" s="99"/>
      <c r="Q19" s="279"/>
      <c r="R19" s="440"/>
      <c r="S19" s="279"/>
      <c r="T19" s="440"/>
      <c r="U19" s="279"/>
      <c r="V19" s="93"/>
      <c r="W19" s="279"/>
      <c r="X19" s="652"/>
      <c r="Y19" s="732"/>
      <c r="Z19" s="732"/>
      <c r="AA19" s="653"/>
      <c r="AB19" s="34"/>
      <c r="AF19" s="651" t="s">
        <v>370</v>
      </c>
      <c r="AG19" s="651"/>
      <c r="AH19" s="651"/>
      <c r="AI19" s="840"/>
      <c r="AJ19" s="840"/>
    </row>
    <row r="20" spans="1:37" ht="12.6" customHeight="1" x14ac:dyDescent="0.2">
      <c r="A20" s="18"/>
      <c r="B20" s="742" t="s">
        <v>27</v>
      </c>
      <c r="C20" s="734"/>
      <c r="D20" s="734"/>
      <c r="E20" s="735"/>
      <c r="F20" s="278">
        <v>4171</v>
      </c>
      <c r="G20" s="301">
        <f t="shared" ref="G20:G26" si="36">+F20*$X$1</f>
        <v>4171</v>
      </c>
      <c r="H20" s="473">
        <f>F20+600</f>
        <v>4771</v>
      </c>
      <c r="I20" s="278">
        <f t="shared" ref="I20:I21" si="37">+H20*$X$1</f>
        <v>4771</v>
      </c>
      <c r="J20" s="607">
        <f>F20+280</f>
        <v>4451</v>
      </c>
      <c r="K20" s="278">
        <f t="shared" ref="K20" si="38">+J20*$X$1</f>
        <v>4451</v>
      </c>
      <c r="L20" s="607">
        <f>F20+230</f>
        <v>4401</v>
      </c>
      <c r="M20" s="278">
        <f t="shared" ref="M20" si="39">+L20*$X$1</f>
        <v>4401</v>
      </c>
      <c r="N20" s="607">
        <f>F20+190</f>
        <v>4361</v>
      </c>
      <c r="O20" s="278">
        <f t="shared" ref="O20" si="40">+N20*$X$1</f>
        <v>4361</v>
      </c>
      <c r="P20" s="607">
        <f>F20+160</f>
        <v>4331</v>
      </c>
      <c r="Q20" s="278">
        <f t="shared" ref="Q20" si="41">+P20*$X$1</f>
        <v>4331</v>
      </c>
      <c r="R20" s="607">
        <f>F20+130</f>
        <v>4301</v>
      </c>
      <c r="S20" s="278">
        <f t="shared" ref="S20" si="42">+R20*$X$1</f>
        <v>4301</v>
      </c>
      <c r="T20" s="607">
        <f>F20+110</f>
        <v>4281</v>
      </c>
      <c r="U20" s="278">
        <f t="shared" ref="U20" si="43">+T20*$X$1</f>
        <v>4281</v>
      </c>
      <c r="V20" s="607">
        <f>F20+90</f>
        <v>4261</v>
      </c>
      <c r="W20" s="278">
        <f t="shared" ref="W20" si="44">+V20*$X$1</f>
        <v>4261</v>
      </c>
      <c r="X20" s="652"/>
      <c r="Y20" s="732"/>
      <c r="Z20" s="732"/>
      <c r="AA20" s="653"/>
      <c r="AB20" s="386" t="s">
        <v>28</v>
      </c>
      <c r="AE20" s="71"/>
      <c r="AF20" s="651" t="s">
        <v>371</v>
      </c>
      <c r="AG20" s="651"/>
      <c r="AH20" s="651"/>
      <c r="AI20" s="651"/>
      <c r="AJ20" s="72"/>
    </row>
    <row r="21" spans="1:37" ht="12.6" customHeight="1" x14ac:dyDescent="0.2">
      <c r="A21" s="18"/>
      <c r="B21" s="711" t="s">
        <v>29</v>
      </c>
      <c r="C21" s="673"/>
      <c r="D21" s="673"/>
      <c r="E21" s="673"/>
      <c r="F21" s="279">
        <v>4171</v>
      </c>
      <c r="G21" s="300">
        <f t="shared" ref="G21" si="45">+F21*$X$1</f>
        <v>4171</v>
      </c>
      <c r="H21" s="474">
        <f>F21+600</f>
        <v>4771</v>
      </c>
      <c r="I21" s="279">
        <f t="shared" si="37"/>
        <v>4771</v>
      </c>
      <c r="J21" s="440">
        <f>F21+280</f>
        <v>4451</v>
      </c>
      <c r="K21" s="279">
        <f t="shared" ref="K21" si="46">+J21*$X$1</f>
        <v>4451</v>
      </c>
      <c r="L21" s="440">
        <f>F21+230</f>
        <v>4401</v>
      </c>
      <c r="M21" s="279">
        <f t="shared" ref="M21" si="47">+L21*$X$1</f>
        <v>4401</v>
      </c>
      <c r="N21" s="440">
        <f>F21+190</f>
        <v>4361</v>
      </c>
      <c r="O21" s="279">
        <f t="shared" ref="O21" si="48">+N21*$X$1</f>
        <v>4361</v>
      </c>
      <c r="P21" s="440">
        <f>F21+160</f>
        <v>4331</v>
      </c>
      <c r="Q21" s="279">
        <f t="shared" ref="Q21" si="49">+P21*$X$1</f>
        <v>4331</v>
      </c>
      <c r="R21" s="440">
        <f>F21+130</f>
        <v>4301</v>
      </c>
      <c r="S21" s="279">
        <f t="shared" ref="S21" si="50">+R21*$X$1</f>
        <v>4301</v>
      </c>
      <c r="T21" s="440">
        <f>F21+110</f>
        <v>4281</v>
      </c>
      <c r="U21" s="279">
        <f t="shared" ref="U21" si="51">+T21*$X$1</f>
        <v>4281</v>
      </c>
      <c r="V21" s="440">
        <f>F21+90</f>
        <v>4261</v>
      </c>
      <c r="W21" s="279">
        <f t="shared" ref="W21" si="52">+V21*$X$1</f>
        <v>4261</v>
      </c>
      <c r="X21" s="652"/>
      <c r="Y21" s="732"/>
      <c r="Z21" s="732"/>
      <c r="AA21" s="653"/>
      <c r="AB21" s="386" t="s">
        <v>30</v>
      </c>
      <c r="AE21" s="71"/>
      <c r="AF21" s="651" t="s">
        <v>387</v>
      </c>
      <c r="AG21" s="651"/>
      <c r="AH21" s="651"/>
      <c r="AI21" s="651"/>
      <c r="AJ21" s="840"/>
    </row>
    <row r="22" spans="1:37" ht="12.6" customHeight="1" x14ac:dyDescent="0.2">
      <c r="A22" s="18"/>
      <c r="B22" s="746" t="s">
        <v>339</v>
      </c>
      <c r="C22" s="691"/>
      <c r="D22" s="691"/>
      <c r="E22" s="691"/>
      <c r="F22" s="278">
        <v>595</v>
      </c>
      <c r="G22" s="338">
        <f t="shared" si="36"/>
        <v>595</v>
      </c>
      <c r="H22" s="276"/>
      <c r="I22" s="346"/>
      <c r="J22" s="204"/>
      <c r="K22" s="280"/>
      <c r="L22" s="109"/>
      <c r="M22" s="280"/>
      <c r="N22" s="109"/>
      <c r="O22" s="278"/>
      <c r="P22" s="272"/>
      <c r="Q22" s="330"/>
      <c r="R22" s="607"/>
      <c r="S22" s="278"/>
      <c r="T22" s="607"/>
      <c r="U22" s="278"/>
      <c r="V22" s="607"/>
      <c r="W22" s="278"/>
      <c r="X22" s="128"/>
      <c r="Y22" s="128"/>
      <c r="Z22" s="128"/>
      <c r="AA22" s="128"/>
      <c r="AB22" s="386">
        <v>35</v>
      </c>
      <c r="AE22" s="71"/>
      <c r="AF22" s="651" t="s">
        <v>340</v>
      </c>
      <c r="AG22" s="840"/>
      <c r="AH22" s="840"/>
      <c r="AI22" s="840"/>
      <c r="AJ22" s="72"/>
    </row>
    <row r="23" spans="1:37" ht="12.6" customHeight="1" x14ac:dyDescent="0.2">
      <c r="A23" s="18"/>
      <c r="B23" s="711" t="s">
        <v>338</v>
      </c>
      <c r="C23" s="673"/>
      <c r="D23" s="673"/>
      <c r="E23" s="673"/>
      <c r="F23" s="279">
        <v>1930</v>
      </c>
      <c r="G23" s="328">
        <f t="shared" si="36"/>
        <v>1930</v>
      </c>
      <c r="H23" s="271"/>
      <c r="I23" s="331"/>
      <c r="J23" s="117"/>
      <c r="K23" s="279"/>
      <c r="L23" s="440"/>
      <c r="M23" s="279"/>
      <c r="N23" s="440"/>
      <c r="O23" s="279"/>
      <c r="P23" s="271"/>
      <c r="Q23" s="331"/>
      <c r="R23" s="440"/>
      <c r="S23" s="347"/>
      <c r="T23" s="99"/>
      <c r="U23" s="308"/>
      <c r="V23" s="99"/>
      <c r="W23" s="279"/>
      <c r="X23" s="128"/>
      <c r="Y23" s="128"/>
      <c r="Z23" s="128"/>
      <c r="AA23" s="128"/>
      <c r="AB23" s="386">
        <v>36</v>
      </c>
      <c r="AE23" s="71"/>
      <c r="AF23" s="651" t="s">
        <v>480</v>
      </c>
      <c r="AG23" s="651"/>
      <c r="AH23" s="651"/>
      <c r="AI23" s="651"/>
      <c r="AJ23" s="72"/>
    </row>
    <row r="24" spans="1:37" ht="12.6" customHeight="1" x14ac:dyDescent="0.2">
      <c r="A24" s="18"/>
      <c r="B24" s="746" t="s">
        <v>31</v>
      </c>
      <c r="C24" s="691"/>
      <c r="D24" s="691"/>
      <c r="E24" s="691"/>
      <c r="F24" s="278">
        <v>1930</v>
      </c>
      <c r="G24" s="296">
        <f t="shared" si="36"/>
        <v>1930</v>
      </c>
      <c r="H24" s="276"/>
      <c r="I24" s="334"/>
      <c r="J24" s="118"/>
      <c r="K24" s="278"/>
      <c r="L24" s="607"/>
      <c r="M24" s="278"/>
      <c r="N24" s="607"/>
      <c r="O24" s="278"/>
      <c r="P24" s="276"/>
      <c r="Q24" s="334"/>
      <c r="R24" s="607"/>
      <c r="S24" s="311"/>
      <c r="T24" s="607"/>
      <c r="U24" s="278"/>
      <c r="V24" s="607"/>
      <c r="W24" s="278"/>
      <c r="X24" s="128"/>
      <c r="Y24" s="128"/>
      <c r="Z24" s="128"/>
      <c r="AA24" s="128"/>
      <c r="AB24" s="386" t="s">
        <v>32</v>
      </c>
      <c r="AE24" s="71"/>
      <c r="AF24" s="651" t="s">
        <v>33</v>
      </c>
      <c r="AG24" s="651"/>
      <c r="AH24" s="651"/>
      <c r="AI24" s="651"/>
      <c r="AJ24" s="72"/>
    </row>
    <row r="25" spans="1:37" ht="12.6" customHeight="1" x14ac:dyDescent="0.2">
      <c r="A25" s="18"/>
      <c r="B25" s="711" t="s">
        <v>34</v>
      </c>
      <c r="C25" s="673"/>
      <c r="D25" s="673"/>
      <c r="E25" s="673"/>
      <c r="F25" s="279"/>
      <c r="G25" s="328"/>
      <c r="H25" s="271"/>
      <c r="I25" s="331"/>
      <c r="J25" s="117"/>
      <c r="K25" s="281"/>
      <c r="L25" s="93"/>
      <c r="M25" s="281"/>
      <c r="N25" s="93"/>
      <c r="O25" s="281"/>
      <c r="P25" s="93"/>
      <c r="Q25" s="281"/>
      <c r="R25" s="93"/>
      <c r="S25" s="363"/>
      <c r="T25" s="93"/>
      <c r="U25" s="335"/>
      <c r="V25" s="93"/>
      <c r="W25" s="281"/>
      <c r="X25" s="128"/>
      <c r="Y25" s="128"/>
      <c r="Z25" s="128"/>
      <c r="AA25" s="128"/>
      <c r="AB25" s="386" t="s">
        <v>35</v>
      </c>
      <c r="AD25" s="23"/>
      <c r="AE25" s="73"/>
      <c r="AF25" s="651" t="s">
        <v>36</v>
      </c>
      <c r="AG25" s="840"/>
      <c r="AH25" s="840"/>
      <c r="AI25" s="840"/>
      <c r="AJ25" s="72"/>
    </row>
    <row r="26" spans="1:37" ht="12.6" customHeight="1" x14ac:dyDescent="0.2">
      <c r="A26" s="18"/>
      <c r="B26" s="742" t="s">
        <v>37</v>
      </c>
      <c r="C26" s="734"/>
      <c r="D26" s="734"/>
      <c r="E26" s="735"/>
      <c r="F26" s="364">
        <f>8.97*X2</f>
        <v>9849.0600000000013</v>
      </c>
      <c r="G26" s="278">
        <f t="shared" si="36"/>
        <v>9849.0600000000013</v>
      </c>
      <c r="H26" s="315"/>
      <c r="I26" s="278"/>
      <c r="J26" s="607"/>
      <c r="K26" s="278"/>
      <c r="L26" s="607">
        <f>F26+230</f>
        <v>10079.060000000001</v>
      </c>
      <c r="M26" s="278">
        <f t="shared" ref="M26" si="53">+L26*$X$1</f>
        <v>10079.060000000001</v>
      </c>
      <c r="N26" s="607">
        <f>F26+190</f>
        <v>10039.060000000001</v>
      </c>
      <c r="O26" s="278">
        <f t="shared" ref="O26" si="54">+N26*$X$1</f>
        <v>10039.060000000001</v>
      </c>
      <c r="P26" s="607">
        <f>F26+160</f>
        <v>10009.060000000001</v>
      </c>
      <c r="Q26" s="278">
        <f t="shared" ref="Q26" si="55">+P26*$X$1</f>
        <v>10009.060000000001</v>
      </c>
      <c r="R26" s="607">
        <f>F26+130</f>
        <v>9979.0600000000013</v>
      </c>
      <c r="S26" s="278">
        <f t="shared" ref="S26" si="56">+R26*$X$1</f>
        <v>9979.0600000000013</v>
      </c>
      <c r="T26" s="607">
        <f>F26+110</f>
        <v>9959.0600000000013</v>
      </c>
      <c r="U26" s="278">
        <f t="shared" ref="U26" si="57">+T26*$X$1</f>
        <v>9959.0600000000013</v>
      </c>
      <c r="V26" s="607"/>
      <c r="W26" s="278"/>
      <c r="X26" s="652"/>
      <c r="Y26" s="827"/>
      <c r="Z26" s="827"/>
      <c r="AA26" s="783"/>
      <c r="AB26" s="386">
        <v>39</v>
      </c>
      <c r="AE26" s="71"/>
      <c r="AF26" s="651" t="s">
        <v>732</v>
      </c>
      <c r="AG26" s="651"/>
      <c r="AH26" s="651"/>
      <c r="AI26" s="840"/>
      <c r="AJ26" s="840"/>
    </row>
    <row r="27" spans="1:37" ht="12.6" customHeight="1" x14ac:dyDescent="0.2">
      <c r="A27" s="18"/>
      <c r="B27" s="846" t="s">
        <v>38</v>
      </c>
      <c r="C27" s="847"/>
      <c r="D27" s="847"/>
      <c r="E27" s="848"/>
      <c r="F27" s="281"/>
      <c r="G27" s="279"/>
      <c r="H27" s="271"/>
      <c r="I27" s="331"/>
      <c r="J27" s="117"/>
      <c r="K27" s="279"/>
      <c r="L27" s="440"/>
      <c r="M27" s="279"/>
      <c r="N27" s="440"/>
      <c r="O27" s="279"/>
      <c r="P27" s="273"/>
      <c r="Q27" s="279"/>
      <c r="R27" s="440"/>
      <c r="S27" s="279"/>
      <c r="T27" s="440"/>
      <c r="U27" s="279"/>
      <c r="V27" s="440"/>
      <c r="W27" s="279"/>
      <c r="X27" s="127"/>
      <c r="Y27" s="128"/>
      <c r="Z27" s="128"/>
      <c r="AA27" s="128"/>
      <c r="AB27" s="386" t="s">
        <v>39</v>
      </c>
      <c r="AE27" s="71"/>
      <c r="AF27" s="651" t="s">
        <v>40</v>
      </c>
      <c r="AG27" s="651"/>
      <c r="AH27" s="651"/>
      <c r="AI27" s="651"/>
      <c r="AJ27" s="72"/>
    </row>
    <row r="28" spans="1:37" ht="12.6" customHeight="1" x14ac:dyDescent="0.2">
      <c r="A28" s="18"/>
      <c r="B28" s="746" t="s">
        <v>41</v>
      </c>
      <c r="C28" s="691"/>
      <c r="D28" s="691"/>
      <c r="E28" s="691"/>
      <c r="F28" s="364"/>
      <c r="G28" s="278"/>
      <c r="H28" s="272"/>
      <c r="I28" s="330"/>
      <c r="J28" s="598"/>
      <c r="K28" s="278"/>
      <c r="L28" s="598">
        <f>8.2*X2</f>
        <v>9003.5999999999985</v>
      </c>
      <c r="M28" s="278">
        <f t="shared" ref="M28:M30" si="58">+L28*$X$1</f>
        <v>9003.5999999999985</v>
      </c>
      <c r="N28" s="598">
        <f>8*X2</f>
        <v>8784</v>
      </c>
      <c r="O28" s="278">
        <f t="shared" ref="O28:O30" si="59">+N28*$X$1</f>
        <v>8784</v>
      </c>
      <c r="P28" s="309">
        <f>7.9*X2</f>
        <v>8674.2000000000007</v>
      </c>
      <c r="Q28" s="278">
        <f t="shared" ref="Q28:Q30" si="60">+P28*$X$1</f>
        <v>8674.2000000000007</v>
      </c>
      <c r="R28" s="598">
        <f>7.8*X2</f>
        <v>8564.4</v>
      </c>
      <c r="S28" s="278">
        <f t="shared" ref="S28:S30" si="61">+R28*$X$1</f>
        <v>8564.4</v>
      </c>
      <c r="T28" s="598">
        <f>7.7*X2</f>
        <v>8454.6</v>
      </c>
      <c r="U28" s="278">
        <f t="shared" ref="U28:U30" si="62">+T28*$X$1</f>
        <v>8454.6</v>
      </c>
      <c r="V28" s="598"/>
      <c r="W28" s="278"/>
      <c r="X28" s="824"/>
      <c r="Y28" s="827"/>
      <c r="Z28" s="827"/>
      <c r="AA28" s="783"/>
      <c r="AB28" s="386">
        <v>40</v>
      </c>
      <c r="AE28" s="71"/>
      <c r="AF28" s="651" t="s">
        <v>42</v>
      </c>
      <c r="AG28" s="651"/>
      <c r="AH28" s="651"/>
      <c r="AI28" s="651"/>
      <c r="AJ28" s="840"/>
    </row>
    <row r="29" spans="1:37" ht="12.6" customHeight="1" x14ac:dyDescent="0.2">
      <c r="A29" s="18"/>
      <c r="B29" s="739" t="s">
        <v>349</v>
      </c>
      <c r="C29" s="772"/>
      <c r="D29" s="772"/>
      <c r="E29" s="773"/>
      <c r="F29" s="368">
        <f>10.35*X2</f>
        <v>11364.3</v>
      </c>
      <c r="G29" s="279">
        <f>+F29*$X$1</f>
        <v>11364.3</v>
      </c>
      <c r="H29" s="271"/>
      <c r="I29" s="331"/>
      <c r="J29" s="440"/>
      <c r="K29" s="279"/>
      <c r="L29" s="440">
        <f>F29+210</f>
        <v>11574.3</v>
      </c>
      <c r="M29" s="279">
        <f t="shared" si="58"/>
        <v>11574.3</v>
      </c>
      <c r="N29" s="440">
        <f>F29+180</f>
        <v>11544.3</v>
      </c>
      <c r="O29" s="279">
        <f t="shared" si="59"/>
        <v>11544.3</v>
      </c>
      <c r="P29" s="440">
        <f>F29+140</f>
        <v>11504.3</v>
      </c>
      <c r="Q29" s="279">
        <f t="shared" si="60"/>
        <v>11504.3</v>
      </c>
      <c r="R29" s="440">
        <f>F29+110</f>
        <v>11474.3</v>
      </c>
      <c r="S29" s="279">
        <f t="shared" si="61"/>
        <v>11474.3</v>
      </c>
      <c r="T29" s="440">
        <f>F29+90</f>
        <v>11454.3</v>
      </c>
      <c r="U29" s="279">
        <f t="shared" si="62"/>
        <v>11454.3</v>
      </c>
      <c r="V29" s="440"/>
      <c r="W29" s="279"/>
      <c r="X29" s="208"/>
      <c r="Y29" s="159"/>
      <c r="Z29" s="159"/>
      <c r="AA29" s="160"/>
      <c r="AB29" s="386">
        <v>44</v>
      </c>
      <c r="AE29" s="71"/>
      <c r="AF29" s="651" t="s">
        <v>403</v>
      </c>
      <c r="AG29" s="651"/>
      <c r="AH29" s="651"/>
      <c r="AI29" s="840"/>
      <c r="AJ29" s="840"/>
      <c r="AK29" s="64"/>
    </row>
    <row r="30" spans="1:37" ht="12.6" customHeight="1" x14ac:dyDescent="0.2">
      <c r="A30" s="18"/>
      <c r="B30" s="804" t="s">
        <v>653</v>
      </c>
      <c r="C30" s="805"/>
      <c r="D30" s="805"/>
      <c r="E30" s="805"/>
      <c r="F30" s="364">
        <f>0.51*X2</f>
        <v>559.98</v>
      </c>
      <c r="G30" s="278">
        <f>+F30*$X$1</f>
        <v>559.98</v>
      </c>
      <c r="H30" s="272"/>
      <c r="I30" s="330"/>
      <c r="J30" s="70"/>
      <c r="K30" s="278"/>
      <c r="L30" s="598">
        <f>F30+150</f>
        <v>709.98</v>
      </c>
      <c r="M30" s="278">
        <f t="shared" si="58"/>
        <v>709.98</v>
      </c>
      <c r="N30" s="598">
        <f>F30+110</f>
        <v>669.98</v>
      </c>
      <c r="O30" s="278">
        <f t="shared" si="59"/>
        <v>669.98</v>
      </c>
      <c r="P30" s="598">
        <f>F30+100</f>
        <v>659.98</v>
      </c>
      <c r="Q30" s="278">
        <f t="shared" si="60"/>
        <v>659.98</v>
      </c>
      <c r="R30" s="598">
        <f>F30+80</f>
        <v>639.98</v>
      </c>
      <c r="S30" s="278">
        <f t="shared" si="61"/>
        <v>639.98</v>
      </c>
      <c r="T30" s="598">
        <f>F30+65</f>
        <v>624.98</v>
      </c>
      <c r="U30" s="278">
        <f t="shared" si="62"/>
        <v>624.98</v>
      </c>
      <c r="V30" s="598">
        <f>F30+56</f>
        <v>615.98</v>
      </c>
      <c r="W30" s="278">
        <f t="shared" ref="W30" si="63">+V30*$X$1</f>
        <v>615.98</v>
      </c>
      <c r="X30" s="128"/>
      <c r="Y30" s="128"/>
      <c r="Z30" s="128"/>
      <c r="AA30" s="128"/>
      <c r="AB30" s="386">
        <v>45</v>
      </c>
      <c r="AF30" s="651" t="s">
        <v>731</v>
      </c>
      <c r="AG30" s="651"/>
      <c r="AH30" s="651"/>
      <c r="AI30" s="651"/>
      <c r="AJ30" s="651"/>
    </row>
    <row r="31" spans="1:37" ht="12.6" customHeight="1" x14ac:dyDescent="0.2">
      <c r="A31" s="18"/>
      <c r="B31" s="711" t="s">
        <v>43</v>
      </c>
      <c r="C31" s="673"/>
      <c r="D31" s="673"/>
      <c r="E31" s="673"/>
      <c r="F31" s="279">
        <v>616</v>
      </c>
      <c r="G31" s="300">
        <f t="shared" ref="G31:G39" si="64">+F31*$X$1</f>
        <v>616</v>
      </c>
      <c r="H31" s="801" t="s">
        <v>44</v>
      </c>
      <c r="I31" s="801"/>
      <c r="J31" s="802"/>
      <c r="K31" s="803"/>
      <c r="L31" s="271"/>
      <c r="M31" s="331"/>
      <c r="N31" s="88">
        <v>1852</v>
      </c>
      <c r="O31" s="300">
        <f t="shared" ref="O31:O42" si="65">+N31*$X$1</f>
        <v>1852</v>
      </c>
      <c r="P31" s="273">
        <v>1706</v>
      </c>
      <c r="Q31" s="573">
        <f t="shared" ref="Q31:S53" si="66">+P31*$X$1</f>
        <v>1706</v>
      </c>
      <c r="R31" s="99">
        <v>1577</v>
      </c>
      <c r="S31" s="294">
        <f t="shared" si="66"/>
        <v>1577</v>
      </c>
      <c r="T31" s="440">
        <v>1456</v>
      </c>
      <c r="U31" s="294">
        <f t="shared" ref="U31:U48" si="67">+T31*$X$1</f>
        <v>1456</v>
      </c>
      <c r="V31" s="440">
        <v>1407</v>
      </c>
      <c r="W31" s="279">
        <f t="shared" ref="W31:W48" si="68">+V31*$X$1</f>
        <v>1407</v>
      </c>
      <c r="X31" s="652"/>
      <c r="Y31" s="827"/>
      <c r="Z31" s="827"/>
      <c r="AA31" s="783"/>
      <c r="AB31" s="386" t="s">
        <v>45</v>
      </c>
      <c r="AE31" s="71"/>
    </row>
    <row r="32" spans="1:37" ht="12.6" customHeight="1" x14ac:dyDescent="0.2">
      <c r="A32" s="18"/>
      <c r="B32" s="746" t="s">
        <v>46</v>
      </c>
      <c r="C32" s="691"/>
      <c r="D32" s="691"/>
      <c r="E32" s="691"/>
      <c r="F32" s="278">
        <v>616</v>
      </c>
      <c r="G32" s="301">
        <f t="shared" si="64"/>
        <v>616</v>
      </c>
      <c r="H32" s="791" t="s">
        <v>44</v>
      </c>
      <c r="I32" s="791"/>
      <c r="J32" s="792"/>
      <c r="K32" s="812"/>
      <c r="L32" s="272"/>
      <c r="M32" s="330"/>
      <c r="N32" s="84">
        <v>1852</v>
      </c>
      <c r="O32" s="301">
        <f t="shared" ref="O32:O35" si="69">+N32*$X$1</f>
        <v>1852</v>
      </c>
      <c r="P32" s="309">
        <v>1706</v>
      </c>
      <c r="Q32" s="574">
        <f t="shared" ref="Q32:Q35" si="70">+P32*$X$1</f>
        <v>1706</v>
      </c>
      <c r="R32" s="100">
        <v>1577</v>
      </c>
      <c r="S32" s="251">
        <f t="shared" ref="S32:S35" si="71">+R32*$X$1</f>
        <v>1577</v>
      </c>
      <c r="T32" s="550">
        <v>1456</v>
      </c>
      <c r="U32" s="251">
        <f t="shared" ref="U32:U35" si="72">+T32*$X$1</f>
        <v>1456</v>
      </c>
      <c r="V32" s="550">
        <v>1407</v>
      </c>
      <c r="W32" s="278">
        <f t="shared" ref="W32:W35" si="73">+V32*$X$1</f>
        <v>1407</v>
      </c>
      <c r="X32" s="652"/>
      <c r="Y32" s="827"/>
      <c r="Z32" s="827"/>
      <c r="AA32" s="783"/>
      <c r="AB32" s="386" t="s">
        <v>47</v>
      </c>
    </row>
    <row r="33" spans="1:28" ht="12.6" customHeight="1" x14ac:dyDescent="0.2">
      <c r="A33" s="18"/>
      <c r="B33" s="711" t="s">
        <v>48</v>
      </c>
      <c r="C33" s="673"/>
      <c r="D33" s="673"/>
      <c r="E33" s="673"/>
      <c r="F33" s="279">
        <v>616</v>
      </c>
      <c r="G33" s="300">
        <f t="shared" si="64"/>
        <v>616</v>
      </c>
      <c r="H33" s="828" t="s">
        <v>44</v>
      </c>
      <c r="I33" s="828"/>
      <c r="J33" s="829"/>
      <c r="K33" s="830"/>
      <c r="L33" s="271"/>
      <c r="M33" s="331"/>
      <c r="N33" s="88">
        <v>1852</v>
      </c>
      <c r="O33" s="300">
        <f t="shared" si="69"/>
        <v>1852</v>
      </c>
      <c r="P33" s="273">
        <v>1706</v>
      </c>
      <c r="Q33" s="573">
        <f t="shared" si="70"/>
        <v>1706</v>
      </c>
      <c r="R33" s="99">
        <v>1577</v>
      </c>
      <c r="S33" s="294">
        <f t="shared" si="71"/>
        <v>1577</v>
      </c>
      <c r="T33" s="440">
        <v>1456</v>
      </c>
      <c r="U33" s="294">
        <f t="shared" si="72"/>
        <v>1456</v>
      </c>
      <c r="V33" s="440">
        <v>1407</v>
      </c>
      <c r="W33" s="279">
        <f t="shared" si="73"/>
        <v>1407</v>
      </c>
      <c r="X33" s="652"/>
      <c r="Y33" s="827"/>
      <c r="Z33" s="827"/>
      <c r="AA33" s="783"/>
      <c r="AB33" s="386" t="s">
        <v>49</v>
      </c>
    </row>
    <row r="34" spans="1:28" ht="12.6" customHeight="1" x14ac:dyDescent="0.2">
      <c r="A34" s="18"/>
      <c r="B34" s="746" t="s">
        <v>50</v>
      </c>
      <c r="C34" s="691"/>
      <c r="D34" s="691"/>
      <c r="E34" s="691"/>
      <c r="F34" s="278">
        <v>616</v>
      </c>
      <c r="G34" s="301">
        <f t="shared" si="64"/>
        <v>616</v>
      </c>
      <c r="H34" s="791" t="s">
        <v>44</v>
      </c>
      <c r="I34" s="791"/>
      <c r="J34" s="792"/>
      <c r="K34" s="812"/>
      <c r="L34" s="272"/>
      <c r="M34" s="330"/>
      <c r="N34" s="84">
        <v>1852</v>
      </c>
      <c r="O34" s="301">
        <f t="shared" si="69"/>
        <v>1852</v>
      </c>
      <c r="P34" s="309">
        <v>1706</v>
      </c>
      <c r="Q34" s="574">
        <f t="shared" si="70"/>
        <v>1706</v>
      </c>
      <c r="R34" s="100">
        <v>1577</v>
      </c>
      <c r="S34" s="251">
        <f t="shared" si="71"/>
        <v>1577</v>
      </c>
      <c r="T34" s="550">
        <v>1456</v>
      </c>
      <c r="U34" s="251">
        <f t="shared" si="72"/>
        <v>1456</v>
      </c>
      <c r="V34" s="550">
        <v>1407</v>
      </c>
      <c r="W34" s="278">
        <f t="shared" si="73"/>
        <v>1407</v>
      </c>
      <c r="X34" s="652"/>
      <c r="Y34" s="827"/>
      <c r="Z34" s="827"/>
      <c r="AA34" s="783"/>
      <c r="AB34" s="386" t="s">
        <v>51</v>
      </c>
    </row>
    <row r="35" spans="1:28" ht="12.6" customHeight="1" x14ac:dyDescent="0.2">
      <c r="A35" s="18"/>
      <c r="B35" s="711" t="s">
        <v>52</v>
      </c>
      <c r="C35" s="673"/>
      <c r="D35" s="673"/>
      <c r="E35" s="673"/>
      <c r="F35" s="279">
        <v>616</v>
      </c>
      <c r="G35" s="300">
        <f t="shared" si="64"/>
        <v>616</v>
      </c>
      <c r="H35" s="828" t="s">
        <v>44</v>
      </c>
      <c r="I35" s="828"/>
      <c r="J35" s="829"/>
      <c r="K35" s="830"/>
      <c r="L35" s="271"/>
      <c r="M35" s="331"/>
      <c r="N35" s="88">
        <v>1852</v>
      </c>
      <c r="O35" s="300">
        <f t="shared" si="69"/>
        <v>1852</v>
      </c>
      <c r="P35" s="273">
        <v>1706</v>
      </c>
      <c r="Q35" s="573">
        <f t="shared" si="70"/>
        <v>1706</v>
      </c>
      <c r="R35" s="99">
        <v>1577</v>
      </c>
      <c r="S35" s="294">
        <f t="shared" si="71"/>
        <v>1577</v>
      </c>
      <c r="T35" s="440">
        <v>1456</v>
      </c>
      <c r="U35" s="294">
        <f t="shared" si="72"/>
        <v>1456</v>
      </c>
      <c r="V35" s="440">
        <v>1407</v>
      </c>
      <c r="W35" s="279">
        <f t="shared" si="73"/>
        <v>1407</v>
      </c>
      <c r="X35" s="652"/>
      <c r="Y35" s="827"/>
      <c r="Z35" s="827"/>
      <c r="AA35" s="783"/>
      <c r="AB35" s="386" t="s">
        <v>53</v>
      </c>
    </row>
    <row r="36" spans="1:28" ht="12.6" customHeight="1" x14ac:dyDescent="0.25">
      <c r="A36" s="18"/>
      <c r="B36" s="746" t="s">
        <v>54</v>
      </c>
      <c r="C36" s="691"/>
      <c r="D36" s="691"/>
      <c r="E36" s="691"/>
      <c r="F36" s="278">
        <v>616</v>
      </c>
      <c r="G36" s="301">
        <f t="shared" si="64"/>
        <v>616</v>
      </c>
      <c r="H36" s="791" t="s">
        <v>44</v>
      </c>
      <c r="I36" s="791"/>
      <c r="J36" s="792"/>
      <c r="K36" s="812"/>
      <c r="L36" s="272"/>
      <c r="M36" s="330"/>
      <c r="N36" s="84">
        <v>1610</v>
      </c>
      <c r="O36" s="301">
        <f t="shared" si="65"/>
        <v>1610</v>
      </c>
      <c r="P36" s="309">
        <v>1476</v>
      </c>
      <c r="Q36" s="574">
        <f t="shared" si="66"/>
        <v>1476</v>
      </c>
      <c r="R36" s="550">
        <v>1351</v>
      </c>
      <c r="S36" s="251">
        <f t="shared" si="66"/>
        <v>1351</v>
      </c>
      <c r="T36" s="550">
        <v>1261</v>
      </c>
      <c r="U36" s="251">
        <f t="shared" si="67"/>
        <v>1261</v>
      </c>
      <c r="V36" s="550">
        <v>1197</v>
      </c>
      <c r="W36" s="278">
        <f t="shared" si="68"/>
        <v>1197</v>
      </c>
      <c r="X36" s="652"/>
      <c r="Y36" s="669"/>
      <c r="Z36" s="669"/>
      <c r="AA36" s="670"/>
      <c r="AB36" s="386" t="s">
        <v>440</v>
      </c>
    </row>
    <row r="37" spans="1:28" ht="12.6" customHeight="1" x14ac:dyDescent="0.2">
      <c r="A37" s="18"/>
      <c r="B37" s="711" t="s">
        <v>55</v>
      </c>
      <c r="C37" s="673"/>
      <c r="D37" s="673"/>
      <c r="E37" s="673"/>
      <c r="F37" s="279">
        <v>616</v>
      </c>
      <c r="G37" s="300">
        <f t="shared" si="64"/>
        <v>616</v>
      </c>
      <c r="H37" s="828" t="s">
        <v>44</v>
      </c>
      <c r="I37" s="828"/>
      <c r="J37" s="829"/>
      <c r="K37" s="830"/>
      <c r="L37" s="271"/>
      <c r="M37" s="331"/>
      <c r="N37" s="88">
        <v>1411</v>
      </c>
      <c r="O37" s="300">
        <f t="shared" ref="O37" si="74">+N37*$X$1</f>
        <v>1411</v>
      </c>
      <c r="P37" s="273">
        <v>1297</v>
      </c>
      <c r="Q37" s="573">
        <f t="shared" ref="Q37" si="75">+P37*$X$1</f>
        <v>1297</v>
      </c>
      <c r="R37" s="99">
        <v>1182</v>
      </c>
      <c r="S37" s="294">
        <f t="shared" ref="S37" si="76">+R37*$X$1</f>
        <v>1182</v>
      </c>
      <c r="T37" s="440">
        <v>1090</v>
      </c>
      <c r="U37" s="294">
        <f t="shared" ref="U37" si="77">+T37*$X$1</f>
        <v>1090</v>
      </c>
      <c r="V37" s="440">
        <v>976</v>
      </c>
      <c r="W37" s="279">
        <f t="shared" ref="W37" si="78">+V37*$X$1</f>
        <v>976</v>
      </c>
      <c r="X37" s="652"/>
      <c r="Y37" s="669"/>
      <c r="Z37" s="669"/>
      <c r="AA37" s="670"/>
      <c r="AB37" s="386" t="s">
        <v>438</v>
      </c>
    </row>
    <row r="38" spans="1:28" ht="12.6" customHeight="1" x14ac:dyDescent="0.25">
      <c r="A38" s="18"/>
      <c r="B38" s="746" t="s">
        <v>56</v>
      </c>
      <c r="C38" s="691"/>
      <c r="D38" s="691"/>
      <c r="E38" s="691"/>
      <c r="F38" s="278">
        <v>616</v>
      </c>
      <c r="G38" s="301">
        <f t="shared" si="64"/>
        <v>616</v>
      </c>
      <c r="H38" s="791" t="s">
        <v>44</v>
      </c>
      <c r="I38" s="791"/>
      <c r="J38" s="792"/>
      <c r="K38" s="812"/>
      <c r="L38" s="272"/>
      <c r="M38" s="330"/>
      <c r="N38" s="84">
        <v>1411</v>
      </c>
      <c r="O38" s="301">
        <f t="shared" ref="O38" si="79">+N38*$X$1</f>
        <v>1411</v>
      </c>
      <c r="P38" s="309">
        <v>1297</v>
      </c>
      <c r="Q38" s="574">
        <f t="shared" ref="Q38" si="80">+P38*$X$1</f>
        <v>1297</v>
      </c>
      <c r="R38" s="100">
        <v>1182</v>
      </c>
      <c r="S38" s="251">
        <f t="shared" ref="S38" si="81">+R38*$X$1</f>
        <v>1182</v>
      </c>
      <c r="T38" s="550">
        <v>1090</v>
      </c>
      <c r="U38" s="251">
        <f t="shared" ref="U38" si="82">+T38*$X$1</f>
        <v>1090</v>
      </c>
      <c r="V38" s="550">
        <v>976</v>
      </c>
      <c r="W38" s="278">
        <f t="shared" ref="W38" si="83">+V38*$X$1</f>
        <v>976</v>
      </c>
      <c r="X38" s="652"/>
      <c r="Y38" s="669"/>
      <c r="Z38" s="669"/>
      <c r="AA38" s="670"/>
      <c r="AB38" s="386" t="s">
        <v>441</v>
      </c>
    </row>
    <row r="39" spans="1:28" ht="12.6" customHeight="1" x14ac:dyDescent="0.25">
      <c r="A39" s="18"/>
      <c r="B39" s="711" t="s">
        <v>57</v>
      </c>
      <c r="C39" s="673"/>
      <c r="D39" s="673"/>
      <c r="E39" s="673"/>
      <c r="F39" s="279">
        <v>616</v>
      </c>
      <c r="G39" s="300">
        <f t="shared" si="64"/>
        <v>616</v>
      </c>
      <c r="H39" s="828" t="s">
        <v>44</v>
      </c>
      <c r="I39" s="828"/>
      <c r="J39" s="829"/>
      <c r="K39" s="830"/>
      <c r="L39" s="271"/>
      <c r="M39" s="331"/>
      <c r="N39" s="88">
        <v>1920</v>
      </c>
      <c r="O39" s="300">
        <f t="shared" si="65"/>
        <v>1920</v>
      </c>
      <c r="P39" s="273">
        <v>1773</v>
      </c>
      <c r="Q39" s="573">
        <f t="shared" si="66"/>
        <v>1773</v>
      </c>
      <c r="R39" s="440">
        <v>1633</v>
      </c>
      <c r="S39" s="294">
        <f t="shared" si="66"/>
        <v>1633</v>
      </c>
      <c r="T39" s="440">
        <v>1528</v>
      </c>
      <c r="U39" s="294">
        <f t="shared" si="67"/>
        <v>1528</v>
      </c>
      <c r="V39" s="440">
        <v>1463</v>
      </c>
      <c r="W39" s="279">
        <f t="shared" si="68"/>
        <v>1463</v>
      </c>
      <c r="X39" s="652"/>
      <c r="Y39" s="669"/>
      <c r="Z39" s="669"/>
      <c r="AA39" s="670"/>
      <c r="AB39" s="386" t="s">
        <v>439</v>
      </c>
    </row>
    <row r="40" spans="1:28" ht="12.6" customHeight="1" x14ac:dyDescent="0.2">
      <c r="A40" s="18"/>
      <c r="B40" s="746" t="s">
        <v>442</v>
      </c>
      <c r="C40" s="691"/>
      <c r="D40" s="691"/>
      <c r="E40" s="691"/>
      <c r="F40" s="278">
        <v>616</v>
      </c>
      <c r="G40" s="301">
        <f t="shared" ref="G40" si="84">+F40*$X$1</f>
        <v>616</v>
      </c>
      <c r="H40" s="791" t="s">
        <v>44</v>
      </c>
      <c r="I40" s="791"/>
      <c r="J40" s="792"/>
      <c r="K40" s="812"/>
      <c r="L40" s="272"/>
      <c r="M40" s="330"/>
      <c r="N40" s="84">
        <v>1890</v>
      </c>
      <c r="O40" s="301">
        <f t="shared" ref="O40:O41" si="85">+N40*$X$1</f>
        <v>1890</v>
      </c>
      <c r="P40" s="309">
        <v>1745</v>
      </c>
      <c r="Q40" s="574">
        <f t="shared" si="66"/>
        <v>1745</v>
      </c>
      <c r="R40" s="550">
        <v>1633</v>
      </c>
      <c r="S40" s="251">
        <f t="shared" si="66"/>
        <v>1633</v>
      </c>
      <c r="T40" s="550">
        <v>1528</v>
      </c>
      <c r="U40" s="251">
        <f t="shared" si="67"/>
        <v>1528</v>
      </c>
      <c r="V40" s="550">
        <v>1430</v>
      </c>
      <c r="W40" s="278">
        <f t="shared" si="68"/>
        <v>1430</v>
      </c>
      <c r="X40" s="652"/>
      <c r="Y40" s="669"/>
      <c r="Z40" s="669"/>
      <c r="AA40" s="670"/>
      <c r="AB40" s="386" t="s">
        <v>444</v>
      </c>
    </row>
    <row r="41" spans="1:28" ht="12.6" customHeight="1" x14ac:dyDescent="0.2">
      <c r="A41" s="18"/>
      <c r="B41" s="711" t="s">
        <v>443</v>
      </c>
      <c r="C41" s="673"/>
      <c r="D41" s="673"/>
      <c r="E41" s="673"/>
      <c r="F41" s="279">
        <v>616</v>
      </c>
      <c r="G41" s="300">
        <f t="shared" ref="G41" si="86">+F41*$X$1</f>
        <v>616</v>
      </c>
      <c r="H41" s="828" t="s">
        <v>44</v>
      </c>
      <c r="I41" s="828"/>
      <c r="J41" s="829"/>
      <c r="K41" s="830"/>
      <c r="L41" s="271"/>
      <c r="M41" s="331"/>
      <c r="N41" s="88">
        <v>1610</v>
      </c>
      <c r="O41" s="300">
        <f t="shared" si="85"/>
        <v>1610</v>
      </c>
      <c r="P41" s="273">
        <v>1476</v>
      </c>
      <c r="Q41" s="573">
        <f t="shared" ref="Q41" si="87">+P41*$X$1</f>
        <v>1476</v>
      </c>
      <c r="R41" s="440">
        <v>1351</v>
      </c>
      <c r="S41" s="294">
        <f t="shared" ref="S41" si="88">+R41*$X$1</f>
        <v>1351</v>
      </c>
      <c r="T41" s="440">
        <v>1261</v>
      </c>
      <c r="U41" s="294">
        <f t="shared" ref="U41" si="89">+T41*$X$1</f>
        <v>1261</v>
      </c>
      <c r="V41" s="440">
        <v>1197</v>
      </c>
      <c r="W41" s="279">
        <f t="shared" ref="W41" si="90">+V41*$X$1</f>
        <v>1197</v>
      </c>
      <c r="X41" s="652"/>
      <c r="Y41" s="669"/>
      <c r="Z41" s="669"/>
      <c r="AA41" s="670"/>
      <c r="AB41" s="386" t="s">
        <v>445</v>
      </c>
    </row>
    <row r="42" spans="1:28" ht="12.6" customHeight="1" x14ac:dyDescent="0.2">
      <c r="A42" s="18"/>
      <c r="B42" s="746" t="s">
        <v>58</v>
      </c>
      <c r="C42" s="691"/>
      <c r="D42" s="691"/>
      <c r="E42" s="691"/>
      <c r="F42" s="278">
        <v>1290</v>
      </c>
      <c r="G42" s="301">
        <f t="shared" ref="G42:G50" si="91">+F42*$X$1</f>
        <v>1290</v>
      </c>
      <c r="H42" s="843" t="s">
        <v>59</v>
      </c>
      <c r="I42" s="843"/>
      <c r="J42" s="844"/>
      <c r="K42" s="845"/>
      <c r="L42" s="272"/>
      <c r="M42" s="330"/>
      <c r="N42" s="84">
        <v>2290</v>
      </c>
      <c r="O42" s="301">
        <f t="shared" si="65"/>
        <v>2290</v>
      </c>
      <c r="P42" s="309">
        <v>2124</v>
      </c>
      <c r="Q42" s="574">
        <f t="shared" si="66"/>
        <v>2124</v>
      </c>
      <c r="R42" s="550">
        <v>1952</v>
      </c>
      <c r="S42" s="251">
        <f t="shared" si="66"/>
        <v>1952</v>
      </c>
      <c r="T42" s="550">
        <v>1819</v>
      </c>
      <c r="U42" s="251">
        <f t="shared" si="67"/>
        <v>1819</v>
      </c>
      <c r="V42" s="550">
        <v>1742</v>
      </c>
      <c r="W42" s="278">
        <f t="shared" si="68"/>
        <v>1742</v>
      </c>
      <c r="X42" s="652"/>
      <c r="Y42" s="669"/>
      <c r="Z42" s="669"/>
      <c r="AA42" s="670"/>
      <c r="AB42" s="387" t="s">
        <v>60</v>
      </c>
    </row>
    <row r="43" spans="1:28" ht="12.6" customHeight="1" x14ac:dyDescent="0.2">
      <c r="A43" s="18"/>
      <c r="B43" s="711" t="s">
        <v>61</v>
      </c>
      <c r="C43" s="673"/>
      <c r="D43" s="673"/>
      <c r="E43" s="673"/>
      <c r="F43" s="279">
        <v>1290</v>
      </c>
      <c r="G43" s="300">
        <f t="shared" si="91"/>
        <v>1290</v>
      </c>
      <c r="H43" s="930" t="s">
        <v>59</v>
      </c>
      <c r="I43" s="930"/>
      <c r="J43" s="931"/>
      <c r="K43" s="932"/>
      <c r="L43" s="271"/>
      <c r="M43" s="331"/>
      <c r="N43" s="88">
        <v>2290</v>
      </c>
      <c r="O43" s="300">
        <f t="shared" ref="O43:O44" si="92">+N43*$X$1</f>
        <v>2290</v>
      </c>
      <c r="P43" s="273">
        <v>2124</v>
      </c>
      <c r="Q43" s="573">
        <f t="shared" ref="Q43:Q44" si="93">+P43*$X$1</f>
        <v>2124</v>
      </c>
      <c r="R43" s="440">
        <v>1952</v>
      </c>
      <c r="S43" s="294">
        <f t="shared" ref="S43:S44" si="94">+R43*$X$1</f>
        <v>1952</v>
      </c>
      <c r="T43" s="440">
        <v>1819</v>
      </c>
      <c r="U43" s="294">
        <f t="shared" ref="U43:U44" si="95">+T43*$X$1</f>
        <v>1819</v>
      </c>
      <c r="V43" s="440">
        <v>1742</v>
      </c>
      <c r="W43" s="279">
        <f t="shared" ref="W43:W44" si="96">+V43*$X$1</f>
        <v>1742</v>
      </c>
      <c r="X43" s="652"/>
      <c r="Y43" s="669"/>
      <c r="Z43" s="669"/>
      <c r="AA43" s="670"/>
      <c r="AB43" s="387" t="s">
        <v>62</v>
      </c>
    </row>
    <row r="44" spans="1:28" ht="12.6" customHeight="1" x14ac:dyDescent="0.2">
      <c r="A44" s="18"/>
      <c r="B44" s="746" t="s">
        <v>63</v>
      </c>
      <c r="C44" s="691"/>
      <c r="D44" s="691"/>
      <c r="E44" s="691"/>
      <c r="F44" s="278">
        <v>1290</v>
      </c>
      <c r="G44" s="301">
        <f t="shared" si="91"/>
        <v>1290</v>
      </c>
      <c r="H44" s="791" t="s">
        <v>59</v>
      </c>
      <c r="I44" s="791"/>
      <c r="J44" s="792"/>
      <c r="K44" s="812"/>
      <c r="L44" s="272"/>
      <c r="M44" s="330"/>
      <c r="N44" s="84">
        <v>2290</v>
      </c>
      <c r="O44" s="301">
        <f t="shared" si="92"/>
        <v>2290</v>
      </c>
      <c r="P44" s="309">
        <v>2124</v>
      </c>
      <c r="Q44" s="574">
        <f t="shared" si="93"/>
        <v>2124</v>
      </c>
      <c r="R44" s="550">
        <v>1952</v>
      </c>
      <c r="S44" s="251">
        <f t="shared" si="94"/>
        <v>1952</v>
      </c>
      <c r="T44" s="550">
        <v>1819</v>
      </c>
      <c r="U44" s="251">
        <f t="shared" si="95"/>
        <v>1819</v>
      </c>
      <c r="V44" s="550">
        <v>1742</v>
      </c>
      <c r="W44" s="278">
        <f t="shared" si="96"/>
        <v>1742</v>
      </c>
      <c r="X44" s="652"/>
      <c r="Y44" s="669"/>
      <c r="Z44" s="669"/>
      <c r="AA44" s="670"/>
      <c r="AB44" s="387" t="s">
        <v>64</v>
      </c>
    </row>
    <row r="45" spans="1:28" ht="12.6" customHeight="1" x14ac:dyDescent="0.2">
      <c r="A45" s="18"/>
      <c r="B45" s="711" t="s">
        <v>530</v>
      </c>
      <c r="C45" s="673"/>
      <c r="D45" s="673"/>
      <c r="E45" s="673"/>
      <c r="F45" s="279">
        <v>1386</v>
      </c>
      <c r="G45" s="300">
        <f t="shared" ref="G45" si="97">+F45*$X$1</f>
        <v>1386</v>
      </c>
      <c r="H45" s="801" t="s">
        <v>59</v>
      </c>
      <c r="I45" s="801"/>
      <c r="J45" s="802"/>
      <c r="K45" s="803"/>
      <c r="L45" s="271"/>
      <c r="M45" s="331"/>
      <c r="N45" s="88">
        <v>2425</v>
      </c>
      <c r="O45" s="300">
        <f t="shared" ref="O45" si="98">+N45*$X$1</f>
        <v>2425</v>
      </c>
      <c r="P45" s="273">
        <v>2260</v>
      </c>
      <c r="Q45" s="573">
        <f t="shared" ref="Q45" si="99">+P45*$X$1</f>
        <v>2260</v>
      </c>
      <c r="R45" s="440">
        <v>2060</v>
      </c>
      <c r="S45" s="294">
        <f t="shared" ref="S45" si="100">+R45*$X$1</f>
        <v>2060</v>
      </c>
      <c r="T45" s="440">
        <v>1935</v>
      </c>
      <c r="U45" s="294">
        <f t="shared" ref="U45" si="101">+T45*$X$1</f>
        <v>1935</v>
      </c>
      <c r="V45" s="440">
        <v>1843</v>
      </c>
      <c r="W45" s="279">
        <f t="shared" ref="W45" si="102">+V45*$X$1</f>
        <v>1843</v>
      </c>
      <c r="X45" s="652"/>
      <c r="Y45" s="669"/>
      <c r="Z45" s="669"/>
      <c r="AA45" s="670"/>
      <c r="AB45" s="388" t="s">
        <v>540</v>
      </c>
    </row>
    <row r="46" spans="1:28" ht="12.6" customHeight="1" x14ac:dyDescent="0.2">
      <c r="A46" s="18"/>
      <c r="B46" s="746" t="s">
        <v>531</v>
      </c>
      <c r="C46" s="691"/>
      <c r="D46" s="691"/>
      <c r="E46" s="691"/>
      <c r="F46" s="278">
        <v>1386</v>
      </c>
      <c r="G46" s="301">
        <f t="shared" ref="G46" si="103">+F46*$X$1</f>
        <v>1386</v>
      </c>
      <c r="H46" s="843" t="s">
        <v>59</v>
      </c>
      <c r="I46" s="843"/>
      <c r="J46" s="844"/>
      <c r="K46" s="845"/>
      <c r="L46" s="272"/>
      <c r="M46" s="330"/>
      <c r="N46" s="84">
        <v>2425</v>
      </c>
      <c r="O46" s="301">
        <f t="shared" ref="O46:O47" si="104">+N46*$X$1</f>
        <v>2425</v>
      </c>
      <c r="P46" s="309">
        <v>2260</v>
      </c>
      <c r="Q46" s="574">
        <f t="shared" ref="Q46:Q47" si="105">+P46*$X$1</f>
        <v>2260</v>
      </c>
      <c r="R46" s="550">
        <v>2060</v>
      </c>
      <c r="S46" s="251">
        <f t="shared" ref="S46:S47" si="106">+R46*$X$1</f>
        <v>2060</v>
      </c>
      <c r="T46" s="550">
        <v>1935</v>
      </c>
      <c r="U46" s="251">
        <f t="shared" ref="U46:U47" si="107">+T46*$X$1</f>
        <v>1935</v>
      </c>
      <c r="V46" s="550">
        <v>1843</v>
      </c>
      <c r="W46" s="278">
        <f t="shared" ref="W46:W47" si="108">+V46*$X$1</f>
        <v>1843</v>
      </c>
      <c r="X46" s="652"/>
      <c r="Y46" s="669"/>
      <c r="Z46" s="669"/>
      <c r="AA46" s="670"/>
      <c r="AB46" s="388" t="s">
        <v>541</v>
      </c>
    </row>
    <row r="47" spans="1:28" ht="12.6" customHeight="1" x14ac:dyDescent="0.2">
      <c r="A47" s="18"/>
      <c r="B47" s="711" t="s">
        <v>532</v>
      </c>
      <c r="C47" s="673"/>
      <c r="D47" s="673"/>
      <c r="E47" s="673"/>
      <c r="F47" s="279">
        <v>1386</v>
      </c>
      <c r="G47" s="300">
        <f t="shared" ref="G47" si="109">+F47*$X$1</f>
        <v>1386</v>
      </c>
      <c r="H47" s="801" t="s">
        <v>59</v>
      </c>
      <c r="I47" s="801"/>
      <c r="J47" s="802"/>
      <c r="K47" s="803"/>
      <c r="L47" s="271"/>
      <c r="M47" s="331"/>
      <c r="N47" s="88">
        <v>2425</v>
      </c>
      <c r="O47" s="300">
        <f t="shared" si="104"/>
        <v>2425</v>
      </c>
      <c r="P47" s="273">
        <v>2260</v>
      </c>
      <c r="Q47" s="573">
        <f t="shared" si="105"/>
        <v>2260</v>
      </c>
      <c r="R47" s="440">
        <v>2060</v>
      </c>
      <c r="S47" s="294">
        <f t="shared" si="106"/>
        <v>2060</v>
      </c>
      <c r="T47" s="440">
        <v>1935</v>
      </c>
      <c r="U47" s="294">
        <f t="shared" si="107"/>
        <v>1935</v>
      </c>
      <c r="V47" s="440">
        <v>1843</v>
      </c>
      <c r="W47" s="279">
        <f t="shared" si="108"/>
        <v>1843</v>
      </c>
      <c r="X47" s="652"/>
      <c r="Y47" s="669"/>
      <c r="Z47" s="669"/>
      <c r="AA47" s="670"/>
      <c r="AB47" s="388" t="s">
        <v>542</v>
      </c>
    </row>
    <row r="48" spans="1:28" ht="12.6" customHeight="1" x14ac:dyDescent="0.2">
      <c r="A48" s="18"/>
      <c r="B48" s="746" t="s">
        <v>65</v>
      </c>
      <c r="C48" s="691"/>
      <c r="D48" s="691"/>
      <c r="E48" s="691"/>
      <c r="F48" s="278">
        <v>1737</v>
      </c>
      <c r="G48" s="301">
        <f t="shared" si="91"/>
        <v>1737</v>
      </c>
      <c r="H48" s="791" t="s">
        <v>59</v>
      </c>
      <c r="I48" s="791"/>
      <c r="J48" s="792"/>
      <c r="K48" s="812"/>
      <c r="L48" s="272"/>
      <c r="M48" s="330"/>
      <c r="N48" s="70">
        <v>3190</v>
      </c>
      <c r="O48" s="296">
        <f t="shared" ref="O48" si="110">+N48*$X$1</f>
        <v>3190</v>
      </c>
      <c r="P48" s="309">
        <v>2950</v>
      </c>
      <c r="Q48" s="311">
        <f t="shared" si="66"/>
        <v>2950</v>
      </c>
      <c r="R48" s="550">
        <v>2717</v>
      </c>
      <c r="S48" s="278">
        <f t="shared" si="66"/>
        <v>2717</v>
      </c>
      <c r="T48" s="550">
        <v>2526</v>
      </c>
      <c r="U48" s="278">
        <f t="shared" si="67"/>
        <v>2526</v>
      </c>
      <c r="V48" s="550">
        <v>2435</v>
      </c>
      <c r="W48" s="278">
        <f t="shared" si="68"/>
        <v>2435</v>
      </c>
      <c r="X48" s="652"/>
      <c r="Y48" s="669"/>
      <c r="Z48" s="669"/>
      <c r="AA48" s="670"/>
      <c r="AB48" s="388" t="s">
        <v>66</v>
      </c>
    </row>
    <row r="49" spans="1:35" ht="12.6" customHeight="1" x14ac:dyDescent="0.2">
      <c r="A49" s="18"/>
      <c r="B49" s="711" t="s">
        <v>67</v>
      </c>
      <c r="C49" s="673"/>
      <c r="D49" s="673"/>
      <c r="E49" s="673"/>
      <c r="F49" s="279">
        <v>1737</v>
      </c>
      <c r="G49" s="300">
        <f t="shared" si="91"/>
        <v>1737</v>
      </c>
      <c r="H49" s="801" t="s">
        <v>59</v>
      </c>
      <c r="I49" s="801"/>
      <c r="J49" s="802"/>
      <c r="K49" s="803"/>
      <c r="L49" s="271"/>
      <c r="M49" s="331"/>
      <c r="N49" s="87">
        <v>3190</v>
      </c>
      <c r="O49" s="328">
        <f t="shared" ref="O49:O50" si="111">+N49*$X$1</f>
        <v>3190</v>
      </c>
      <c r="P49" s="273">
        <v>2950</v>
      </c>
      <c r="Q49" s="310">
        <f t="shared" ref="Q49:Q50" si="112">+P49*$X$1</f>
        <v>2950</v>
      </c>
      <c r="R49" s="440">
        <v>2717</v>
      </c>
      <c r="S49" s="279">
        <f t="shared" ref="S49:S50" si="113">+R49*$X$1</f>
        <v>2717</v>
      </c>
      <c r="T49" s="440">
        <v>2526</v>
      </c>
      <c r="U49" s="279">
        <f t="shared" ref="U49:U50" si="114">+T49*$X$1</f>
        <v>2526</v>
      </c>
      <c r="V49" s="440">
        <v>2435</v>
      </c>
      <c r="W49" s="279">
        <f t="shared" ref="W49:W50" si="115">+V49*$X$1</f>
        <v>2435</v>
      </c>
      <c r="X49" s="652"/>
      <c r="Y49" s="669"/>
      <c r="Z49" s="669"/>
      <c r="AA49" s="670"/>
      <c r="AB49" s="388" t="s">
        <v>68</v>
      </c>
    </row>
    <row r="50" spans="1:35" ht="12.6" customHeight="1" x14ac:dyDescent="0.2">
      <c r="A50" s="18"/>
      <c r="B50" s="746" t="s">
        <v>69</v>
      </c>
      <c r="C50" s="691"/>
      <c r="D50" s="691"/>
      <c r="E50" s="691"/>
      <c r="F50" s="278">
        <v>1737</v>
      </c>
      <c r="G50" s="327">
        <f t="shared" si="91"/>
        <v>1737</v>
      </c>
      <c r="H50" s="791" t="s">
        <v>59</v>
      </c>
      <c r="I50" s="791"/>
      <c r="J50" s="792"/>
      <c r="K50" s="793"/>
      <c r="L50" s="272"/>
      <c r="M50" s="330"/>
      <c r="N50" s="70">
        <v>3190</v>
      </c>
      <c r="O50" s="296">
        <f t="shared" si="111"/>
        <v>3190</v>
      </c>
      <c r="P50" s="309">
        <v>2950</v>
      </c>
      <c r="Q50" s="311">
        <f t="shared" si="112"/>
        <v>2950</v>
      </c>
      <c r="R50" s="550">
        <v>2717</v>
      </c>
      <c r="S50" s="278">
        <f t="shared" si="113"/>
        <v>2717</v>
      </c>
      <c r="T50" s="550">
        <v>2526</v>
      </c>
      <c r="U50" s="278">
        <f t="shared" si="114"/>
        <v>2526</v>
      </c>
      <c r="V50" s="550">
        <v>2435</v>
      </c>
      <c r="W50" s="278">
        <f t="shared" si="115"/>
        <v>2435</v>
      </c>
      <c r="X50" s="652"/>
      <c r="Y50" s="669"/>
      <c r="Z50" s="669"/>
      <c r="AA50" s="670"/>
      <c r="AB50" s="388" t="s">
        <v>70</v>
      </c>
    </row>
    <row r="51" spans="1:35" ht="12.6" customHeight="1" x14ac:dyDescent="0.2">
      <c r="A51" s="18"/>
      <c r="B51" s="711" t="s">
        <v>417</v>
      </c>
      <c r="C51" s="673"/>
      <c r="D51" s="673"/>
      <c r="E51" s="798"/>
      <c r="F51" s="610"/>
      <c r="G51" s="618"/>
      <c r="H51" s="618"/>
      <c r="I51" s="618"/>
      <c r="J51" s="255"/>
      <c r="K51" s="271"/>
      <c r="L51" s="289"/>
      <c r="M51" s="279"/>
      <c r="N51" s="290"/>
      <c r="O51" s="339"/>
      <c r="P51" s="271"/>
      <c r="Q51" s="310"/>
      <c r="R51" s="93"/>
      <c r="S51" s="335"/>
      <c r="T51" s="93"/>
      <c r="U51" s="335"/>
      <c r="V51" s="93"/>
      <c r="W51" s="279"/>
      <c r="X51" s="128"/>
      <c r="Y51" s="128"/>
      <c r="Z51" s="128"/>
      <c r="AA51" s="128"/>
      <c r="AB51" s="35">
        <v>48</v>
      </c>
      <c r="AC51" s="389" t="s">
        <v>71</v>
      </c>
      <c r="AD51" s="389" t="s">
        <v>72</v>
      </c>
      <c r="AE51" s="389" t="s">
        <v>73</v>
      </c>
    </row>
    <row r="52" spans="1:35" ht="12.6" customHeight="1" x14ac:dyDescent="0.2">
      <c r="A52" s="18"/>
      <c r="B52" s="806" t="s">
        <v>74</v>
      </c>
      <c r="C52" s="807"/>
      <c r="D52" s="807"/>
      <c r="E52" s="807"/>
      <c r="F52" s="605"/>
      <c r="G52" s="617"/>
      <c r="H52" s="617"/>
      <c r="I52" s="617"/>
      <c r="J52" s="17"/>
      <c r="K52" s="17"/>
      <c r="L52" s="256"/>
      <c r="M52" s="254"/>
      <c r="N52" s="207"/>
      <c r="O52" s="230"/>
      <c r="P52" s="113"/>
      <c r="Q52" s="258"/>
      <c r="R52" s="230"/>
      <c r="S52" s="230"/>
      <c r="T52" s="230"/>
      <c r="U52" s="230"/>
      <c r="V52" s="90"/>
      <c r="W52" s="90"/>
      <c r="X52" s="161"/>
      <c r="Y52" s="161"/>
      <c r="Z52" s="161"/>
      <c r="AA52" s="161"/>
      <c r="AB52" s="189">
        <v>54</v>
      </c>
    </row>
    <row r="53" spans="1:35" ht="12.6" customHeight="1" x14ac:dyDescent="0.2">
      <c r="A53" s="18"/>
      <c r="B53" s="711" t="s">
        <v>75</v>
      </c>
      <c r="C53" s="673"/>
      <c r="D53" s="673"/>
      <c r="E53" s="673"/>
      <c r="F53" s="279">
        <v>1096</v>
      </c>
      <c r="G53" s="294">
        <f t="shared" ref="G53:G56" si="116">+F53*$X$1</f>
        <v>1096</v>
      </c>
      <c r="H53" s="120"/>
      <c r="I53" s="279"/>
      <c r="J53" s="440">
        <f>F53+300</f>
        <v>1396</v>
      </c>
      <c r="K53" s="279">
        <f t="shared" ref="K53" si="117">+J53*$X$1</f>
        <v>1396</v>
      </c>
      <c r="L53" s="440">
        <f>F53+230</f>
        <v>1326</v>
      </c>
      <c r="M53" s="279">
        <f t="shared" ref="M53" si="118">+L53*$X$1</f>
        <v>1326</v>
      </c>
      <c r="N53" s="99">
        <f>F53+180</f>
        <v>1276</v>
      </c>
      <c r="O53" s="294">
        <f t="shared" ref="O53" si="119">+N53*$X$1</f>
        <v>1276</v>
      </c>
      <c r="P53" s="99">
        <f>F53+150</f>
        <v>1246</v>
      </c>
      <c r="Q53" s="279">
        <f t="shared" si="66"/>
        <v>1246</v>
      </c>
      <c r="R53" s="99">
        <f>F53+125</f>
        <v>1221</v>
      </c>
      <c r="S53" s="294">
        <f t="shared" ref="S53" si="120">+R53*$X$1</f>
        <v>1221</v>
      </c>
      <c r="T53" s="99">
        <f>F53+110</f>
        <v>1206</v>
      </c>
      <c r="U53" s="294">
        <f t="shared" ref="U53" si="121">+T53*$X$1</f>
        <v>1206</v>
      </c>
      <c r="V53" s="99">
        <f>F53+96</f>
        <v>1192</v>
      </c>
      <c r="W53" s="279">
        <f t="shared" ref="W53" si="122">+V53*$X$1</f>
        <v>1192</v>
      </c>
      <c r="X53" s="127"/>
      <c r="Y53" s="128"/>
      <c r="Z53" s="128"/>
      <c r="AA53" s="128"/>
      <c r="AB53" s="386">
        <v>60</v>
      </c>
    </row>
    <row r="54" spans="1:35" ht="12.6" customHeight="1" x14ac:dyDescent="0.2">
      <c r="A54" s="18"/>
      <c r="B54" s="746" t="s">
        <v>510</v>
      </c>
      <c r="C54" s="691"/>
      <c r="D54" s="691"/>
      <c r="E54" s="691"/>
      <c r="F54" s="278">
        <v>1276</v>
      </c>
      <c r="G54" s="251">
        <f t="shared" si="116"/>
        <v>1276</v>
      </c>
      <c r="H54" s="119"/>
      <c r="I54" s="278"/>
      <c r="J54" s="607">
        <f>F54+300</f>
        <v>1576</v>
      </c>
      <c r="K54" s="278">
        <f t="shared" ref="K54:K56" si="123">+J54*$X$1</f>
        <v>1576</v>
      </c>
      <c r="L54" s="607">
        <f>F54+230</f>
        <v>1506</v>
      </c>
      <c r="M54" s="278">
        <f t="shared" ref="M54:M56" si="124">+L54*$X$1</f>
        <v>1506</v>
      </c>
      <c r="N54" s="100">
        <f>F54+180</f>
        <v>1456</v>
      </c>
      <c r="O54" s="251">
        <f t="shared" ref="O54:O56" si="125">+N54*$X$1</f>
        <v>1456</v>
      </c>
      <c r="P54" s="100">
        <f>F54+150</f>
        <v>1426</v>
      </c>
      <c r="Q54" s="278">
        <f t="shared" ref="Q54:Q56" si="126">+P54*$X$1</f>
        <v>1426</v>
      </c>
      <c r="R54" s="100">
        <f>F54+125</f>
        <v>1401</v>
      </c>
      <c r="S54" s="251">
        <f t="shared" ref="S54:S56" si="127">+R54*$X$1</f>
        <v>1401</v>
      </c>
      <c r="T54" s="100">
        <f>F54+110</f>
        <v>1386</v>
      </c>
      <c r="U54" s="251">
        <f t="shared" ref="U54:U56" si="128">+T54*$X$1</f>
        <v>1386</v>
      </c>
      <c r="V54" s="100">
        <f>F54+96</f>
        <v>1372</v>
      </c>
      <c r="W54" s="278">
        <f t="shared" ref="W54:W56" si="129">+V54*$X$1</f>
        <v>1372</v>
      </c>
      <c r="X54" s="127"/>
      <c r="Y54" s="128"/>
      <c r="Z54" s="128"/>
      <c r="AA54" s="128"/>
      <c r="AB54" s="386">
        <v>61</v>
      </c>
    </row>
    <row r="55" spans="1:35" ht="12.6" customHeight="1" x14ac:dyDescent="0.2">
      <c r="A55" s="18"/>
      <c r="B55" s="815" t="s">
        <v>76</v>
      </c>
      <c r="C55" s="767"/>
      <c r="D55" s="767"/>
      <c r="E55" s="767"/>
      <c r="F55" s="281">
        <v>1157</v>
      </c>
      <c r="G55" s="335">
        <f t="shared" si="116"/>
        <v>1157</v>
      </c>
      <c r="H55" s="413"/>
      <c r="I55" s="279"/>
      <c r="J55" s="440">
        <f>F55+300</f>
        <v>1457</v>
      </c>
      <c r="K55" s="279">
        <f t="shared" si="123"/>
        <v>1457</v>
      </c>
      <c r="L55" s="440">
        <f>F55+230</f>
        <v>1387</v>
      </c>
      <c r="M55" s="279">
        <f t="shared" si="124"/>
        <v>1387</v>
      </c>
      <c r="N55" s="99">
        <f>F55+180</f>
        <v>1337</v>
      </c>
      <c r="O55" s="294">
        <f t="shared" si="125"/>
        <v>1337</v>
      </c>
      <c r="P55" s="99">
        <f>F55+150</f>
        <v>1307</v>
      </c>
      <c r="Q55" s="279">
        <f t="shared" si="126"/>
        <v>1307</v>
      </c>
      <c r="R55" s="99">
        <f>F55+125</f>
        <v>1282</v>
      </c>
      <c r="S55" s="294">
        <f t="shared" si="127"/>
        <v>1282</v>
      </c>
      <c r="T55" s="99">
        <f>F55+110</f>
        <v>1267</v>
      </c>
      <c r="U55" s="294">
        <f t="shared" si="128"/>
        <v>1267</v>
      </c>
      <c r="V55" s="99">
        <f>F55+96</f>
        <v>1253</v>
      </c>
      <c r="W55" s="279">
        <f t="shared" si="129"/>
        <v>1253</v>
      </c>
      <c r="X55" s="127"/>
      <c r="Y55" s="128"/>
      <c r="Z55" s="128"/>
      <c r="AA55" s="128"/>
      <c r="AB55" s="386">
        <v>62</v>
      </c>
    </row>
    <row r="56" spans="1:35" ht="12.6" customHeight="1" x14ac:dyDescent="0.2">
      <c r="A56" s="18"/>
      <c r="B56" s="746" t="s">
        <v>77</v>
      </c>
      <c r="C56" s="763"/>
      <c r="D56" s="763"/>
      <c r="E56" s="763"/>
      <c r="F56" s="278">
        <v>1337</v>
      </c>
      <c r="G56" s="278">
        <f t="shared" si="116"/>
        <v>1337</v>
      </c>
      <c r="H56" s="119"/>
      <c r="I56" s="278"/>
      <c r="J56" s="607">
        <f>F56+300</f>
        <v>1637</v>
      </c>
      <c r="K56" s="278">
        <f t="shared" si="123"/>
        <v>1637</v>
      </c>
      <c r="L56" s="607">
        <f>F56+230</f>
        <v>1567</v>
      </c>
      <c r="M56" s="278">
        <f t="shared" si="124"/>
        <v>1567</v>
      </c>
      <c r="N56" s="100">
        <f>F56+180</f>
        <v>1517</v>
      </c>
      <c r="O56" s="251">
        <f t="shared" si="125"/>
        <v>1517</v>
      </c>
      <c r="P56" s="100">
        <f>F56+150</f>
        <v>1487</v>
      </c>
      <c r="Q56" s="278">
        <f t="shared" si="126"/>
        <v>1487</v>
      </c>
      <c r="R56" s="100">
        <f>F56+125</f>
        <v>1462</v>
      </c>
      <c r="S56" s="251">
        <f t="shared" si="127"/>
        <v>1462</v>
      </c>
      <c r="T56" s="100">
        <f>F56+110</f>
        <v>1447</v>
      </c>
      <c r="U56" s="251">
        <f t="shared" si="128"/>
        <v>1447</v>
      </c>
      <c r="V56" s="100">
        <f>F56+96</f>
        <v>1433</v>
      </c>
      <c r="W56" s="278">
        <f t="shared" si="129"/>
        <v>1433</v>
      </c>
      <c r="X56" s="127"/>
      <c r="Y56" s="128"/>
      <c r="Z56" s="128"/>
      <c r="AA56" s="128"/>
      <c r="AB56" s="386">
        <v>63</v>
      </c>
      <c r="AD56" s="4"/>
      <c r="AE56" s="4"/>
      <c r="AF56" s="4"/>
      <c r="AG56" s="4"/>
      <c r="AH56" s="4"/>
      <c r="AI56" s="4"/>
    </row>
    <row r="57" spans="1:35" ht="12.6" customHeight="1" x14ac:dyDescent="0.2">
      <c r="A57" s="18"/>
      <c r="B57" s="711" t="s">
        <v>506</v>
      </c>
      <c r="C57" s="673"/>
      <c r="D57" s="673"/>
      <c r="E57" s="673"/>
      <c r="F57" s="279">
        <v>1396</v>
      </c>
      <c r="G57" s="279">
        <f t="shared" ref="G57" si="130">+F57*$X$1</f>
        <v>1396</v>
      </c>
      <c r="H57" s="120"/>
      <c r="I57" s="279"/>
      <c r="J57" s="440">
        <f>F57+360</f>
        <v>1756</v>
      </c>
      <c r="K57" s="279">
        <f t="shared" ref="K57" si="131">+J57*$X$1</f>
        <v>1756</v>
      </c>
      <c r="L57" s="440">
        <f>F57+280</f>
        <v>1676</v>
      </c>
      <c r="M57" s="279">
        <f t="shared" ref="M57:M59" si="132">+L57*$X$1</f>
        <v>1676</v>
      </c>
      <c r="N57" s="99">
        <f>F57+220</f>
        <v>1616</v>
      </c>
      <c r="O57" s="294">
        <f t="shared" ref="O57:O59" si="133">+N57*$X$1</f>
        <v>1616</v>
      </c>
      <c r="P57" s="99">
        <f>F57+190</f>
        <v>1586</v>
      </c>
      <c r="Q57" s="279">
        <f t="shared" ref="Q57:Q59" si="134">+P57*$X$1</f>
        <v>1586</v>
      </c>
      <c r="R57" s="99">
        <f>F57+170</f>
        <v>1566</v>
      </c>
      <c r="S57" s="294">
        <f t="shared" ref="S57:S59" si="135">+R57*$X$1</f>
        <v>1566</v>
      </c>
      <c r="T57" s="99">
        <f>F57+156</f>
        <v>1552</v>
      </c>
      <c r="U57" s="294">
        <f t="shared" ref="U57:U59" si="136">+T57*$X$1</f>
        <v>1552</v>
      </c>
      <c r="V57" s="99">
        <f>F57+147</f>
        <v>1543</v>
      </c>
      <c r="W57" s="279">
        <f t="shared" ref="W57:W59" si="137">+V57*$X$1</f>
        <v>1543</v>
      </c>
      <c r="X57" s="127"/>
      <c r="Y57" s="128"/>
      <c r="Z57" s="128"/>
      <c r="AA57" s="128"/>
      <c r="AB57" s="386">
        <v>64</v>
      </c>
    </row>
    <row r="58" spans="1:35" ht="12.6" customHeight="1" x14ac:dyDescent="0.2">
      <c r="A58" s="18"/>
      <c r="B58" s="842" t="s">
        <v>854</v>
      </c>
      <c r="C58" s="754"/>
      <c r="D58" s="754"/>
      <c r="E58" s="754"/>
      <c r="F58" s="510">
        <v>310</v>
      </c>
      <c r="G58" s="510">
        <f t="shared" ref="G58:G68" si="138">+F58*$X$1</f>
        <v>310</v>
      </c>
      <c r="H58" s="512"/>
      <c r="I58" s="514"/>
      <c r="J58" s="520"/>
      <c r="K58" s="510"/>
      <c r="L58" s="597">
        <f t="shared" ref="L58:L62" si="139">F58+150</f>
        <v>460</v>
      </c>
      <c r="M58" s="511">
        <f t="shared" si="132"/>
        <v>460</v>
      </c>
      <c r="N58" s="597">
        <f t="shared" ref="N58:N65" si="140">F58+110</f>
        <v>420</v>
      </c>
      <c r="O58" s="511">
        <f t="shared" si="133"/>
        <v>420</v>
      </c>
      <c r="P58" s="597">
        <f t="shared" ref="P58:P65" si="141">F58+100</f>
        <v>410</v>
      </c>
      <c r="Q58" s="511">
        <f t="shared" si="134"/>
        <v>410</v>
      </c>
      <c r="R58" s="597">
        <f t="shared" ref="R58:R65" si="142">F58+80</f>
        <v>390</v>
      </c>
      <c r="S58" s="511">
        <f t="shared" si="135"/>
        <v>390</v>
      </c>
      <c r="T58" s="597">
        <f t="shared" ref="T58:T65" si="143">F58+65</f>
        <v>375</v>
      </c>
      <c r="U58" s="511">
        <f t="shared" si="136"/>
        <v>375</v>
      </c>
      <c r="V58" s="597">
        <f t="shared" ref="V58:V65" si="144">F58+56</f>
        <v>366</v>
      </c>
      <c r="W58" s="511">
        <f t="shared" si="137"/>
        <v>366</v>
      </c>
      <c r="X58" s="128"/>
      <c r="Y58" s="128"/>
      <c r="Z58" s="128"/>
      <c r="AA58" s="128"/>
      <c r="AB58" s="386">
        <v>85</v>
      </c>
    </row>
    <row r="59" spans="1:35" ht="12.6" customHeight="1" x14ac:dyDescent="0.2">
      <c r="A59" s="18"/>
      <c r="B59" s="841" t="s">
        <v>578</v>
      </c>
      <c r="C59" s="660"/>
      <c r="D59" s="660"/>
      <c r="E59" s="660"/>
      <c r="F59" s="308">
        <v>1100</v>
      </c>
      <c r="G59" s="482">
        <f t="shared" si="138"/>
        <v>1100</v>
      </c>
      <c r="H59" s="271"/>
      <c r="I59" s="331"/>
      <c r="J59" s="421"/>
      <c r="K59" s="308"/>
      <c r="L59" s="440">
        <f t="shared" si="139"/>
        <v>1250</v>
      </c>
      <c r="M59" s="279">
        <f t="shared" si="132"/>
        <v>1250</v>
      </c>
      <c r="N59" s="440">
        <f t="shared" si="140"/>
        <v>1210</v>
      </c>
      <c r="O59" s="279">
        <f t="shared" si="133"/>
        <v>1210</v>
      </c>
      <c r="P59" s="440">
        <f t="shared" si="141"/>
        <v>1200</v>
      </c>
      <c r="Q59" s="279">
        <f t="shared" si="134"/>
        <v>1200</v>
      </c>
      <c r="R59" s="440">
        <f t="shared" si="142"/>
        <v>1180</v>
      </c>
      <c r="S59" s="279">
        <f t="shared" si="135"/>
        <v>1180</v>
      </c>
      <c r="T59" s="440">
        <f t="shared" si="143"/>
        <v>1165</v>
      </c>
      <c r="U59" s="279">
        <f t="shared" si="136"/>
        <v>1165</v>
      </c>
      <c r="V59" s="440">
        <f t="shared" si="144"/>
        <v>1156</v>
      </c>
      <c r="W59" s="279">
        <f t="shared" si="137"/>
        <v>1156</v>
      </c>
      <c r="X59" s="128"/>
      <c r="Y59" s="128"/>
      <c r="Z59" s="128"/>
      <c r="AA59" s="128"/>
      <c r="AB59" s="386" t="s">
        <v>765</v>
      </c>
    </row>
    <row r="60" spans="1:35" ht="12.6" customHeight="1" x14ac:dyDescent="0.2">
      <c r="A60" s="18"/>
      <c r="B60" s="804" t="s">
        <v>577</v>
      </c>
      <c r="C60" s="805"/>
      <c r="D60" s="805"/>
      <c r="E60" s="805"/>
      <c r="F60" s="295">
        <v>780</v>
      </c>
      <c r="G60" s="327">
        <f t="shared" ref="G60" si="145">+F60*$X$1</f>
        <v>780</v>
      </c>
      <c r="H60" s="272"/>
      <c r="I60" s="330"/>
      <c r="J60" s="420"/>
      <c r="K60" s="295"/>
      <c r="L60" s="598">
        <f t="shared" si="139"/>
        <v>930</v>
      </c>
      <c r="M60" s="278">
        <f t="shared" ref="M60:M61" si="146">+L60*$X$1</f>
        <v>930</v>
      </c>
      <c r="N60" s="598">
        <f t="shared" si="140"/>
        <v>890</v>
      </c>
      <c r="O60" s="278">
        <f t="shared" ref="O60:O61" si="147">+N60*$X$1</f>
        <v>890</v>
      </c>
      <c r="P60" s="598">
        <f t="shared" si="141"/>
        <v>880</v>
      </c>
      <c r="Q60" s="278">
        <f t="shared" ref="Q60:Q61" si="148">+P60*$X$1</f>
        <v>880</v>
      </c>
      <c r="R60" s="598">
        <f t="shared" si="142"/>
        <v>860</v>
      </c>
      <c r="S60" s="278">
        <f t="shared" ref="S60:S61" si="149">+R60*$X$1</f>
        <v>860</v>
      </c>
      <c r="T60" s="598">
        <f t="shared" si="143"/>
        <v>845</v>
      </c>
      <c r="U60" s="278">
        <f t="shared" ref="U60:U61" si="150">+T60*$X$1</f>
        <v>845</v>
      </c>
      <c r="V60" s="598">
        <f t="shared" si="144"/>
        <v>836</v>
      </c>
      <c r="W60" s="278">
        <f t="shared" ref="W60:W61" si="151">+V60*$X$1</f>
        <v>836</v>
      </c>
      <c r="X60" s="128"/>
      <c r="Y60" s="128"/>
      <c r="Z60" s="128"/>
      <c r="AA60" s="128"/>
      <c r="AB60" s="386" t="s">
        <v>766</v>
      </c>
    </row>
    <row r="61" spans="1:35" ht="12.6" customHeight="1" x14ac:dyDescent="0.2">
      <c r="A61" s="18"/>
      <c r="B61" s="841" t="s">
        <v>749</v>
      </c>
      <c r="C61" s="660"/>
      <c r="D61" s="660"/>
      <c r="E61" s="660"/>
      <c r="F61" s="308">
        <v>760</v>
      </c>
      <c r="G61" s="482">
        <f t="shared" ref="G61:G62" si="152">+F61*$X$1</f>
        <v>760</v>
      </c>
      <c r="H61" s="271"/>
      <c r="I61" s="331"/>
      <c r="J61" s="421"/>
      <c r="K61" s="308"/>
      <c r="L61" s="440">
        <f t="shared" si="139"/>
        <v>910</v>
      </c>
      <c r="M61" s="279">
        <f t="shared" si="146"/>
        <v>910</v>
      </c>
      <c r="N61" s="440">
        <f t="shared" si="140"/>
        <v>870</v>
      </c>
      <c r="O61" s="279">
        <f t="shared" si="147"/>
        <v>870</v>
      </c>
      <c r="P61" s="440">
        <f t="shared" si="141"/>
        <v>860</v>
      </c>
      <c r="Q61" s="279">
        <f t="shared" si="148"/>
        <v>860</v>
      </c>
      <c r="R61" s="440">
        <f t="shared" si="142"/>
        <v>840</v>
      </c>
      <c r="S61" s="279">
        <f t="shared" si="149"/>
        <v>840</v>
      </c>
      <c r="T61" s="440">
        <f t="shared" si="143"/>
        <v>825</v>
      </c>
      <c r="U61" s="279">
        <f t="shared" si="150"/>
        <v>825</v>
      </c>
      <c r="V61" s="440">
        <f t="shared" si="144"/>
        <v>816</v>
      </c>
      <c r="W61" s="279">
        <f t="shared" si="151"/>
        <v>816</v>
      </c>
      <c r="X61" s="128"/>
      <c r="Y61" s="128"/>
      <c r="Z61" s="128"/>
      <c r="AA61" s="128"/>
      <c r="AB61" s="386" t="s">
        <v>764</v>
      </c>
    </row>
    <row r="62" spans="1:35" ht="12.6" customHeight="1" x14ac:dyDescent="0.2">
      <c r="A62" s="18"/>
      <c r="B62" s="804" t="s">
        <v>762</v>
      </c>
      <c r="C62" s="805"/>
      <c r="D62" s="805"/>
      <c r="E62" s="805"/>
      <c r="F62" s="364">
        <f>2.55*X2</f>
        <v>2799.8999999999996</v>
      </c>
      <c r="G62" s="278">
        <f t="shared" si="152"/>
        <v>2799.8999999999996</v>
      </c>
      <c r="H62" s="70"/>
      <c r="I62" s="278"/>
      <c r="J62" s="70">
        <f>F62+200</f>
        <v>2999.8999999999996</v>
      </c>
      <c r="K62" s="278">
        <f t="shared" ref="K62" si="153">+J62*$X$1</f>
        <v>2999.8999999999996</v>
      </c>
      <c r="L62" s="598">
        <f t="shared" si="139"/>
        <v>2949.8999999999996</v>
      </c>
      <c r="M62" s="278">
        <f t="shared" ref="M62" si="154">+L62*$X$1</f>
        <v>2949.8999999999996</v>
      </c>
      <c r="N62" s="598">
        <f t="shared" si="140"/>
        <v>2909.8999999999996</v>
      </c>
      <c r="O62" s="278">
        <f t="shared" ref="O62" si="155">+N62*$X$1</f>
        <v>2909.8999999999996</v>
      </c>
      <c r="P62" s="598">
        <f t="shared" si="141"/>
        <v>2899.8999999999996</v>
      </c>
      <c r="Q62" s="278">
        <f t="shared" ref="Q62" si="156">+P62*$X$1</f>
        <v>2899.8999999999996</v>
      </c>
      <c r="R62" s="598">
        <f t="shared" si="142"/>
        <v>2879.8999999999996</v>
      </c>
      <c r="S62" s="278">
        <f t="shared" ref="S62" si="157">+R62*$X$1</f>
        <v>2879.8999999999996</v>
      </c>
      <c r="T62" s="598">
        <f t="shared" si="143"/>
        <v>2864.8999999999996</v>
      </c>
      <c r="U62" s="278">
        <f t="shared" ref="U62" si="158">+T62*$X$1</f>
        <v>2864.8999999999996</v>
      </c>
      <c r="V62" s="598">
        <f t="shared" si="144"/>
        <v>2855.8999999999996</v>
      </c>
      <c r="W62" s="278">
        <f t="shared" ref="W62" si="159">+V62*$X$1</f>
        <v>2855.8999999999996</v>
      </c>
      <c r="X62" s="128"/>
      <c r="Y62" s="128"/>
      <c r="Z62" s="128"/>
      <c r="AA62" s="128"/>
      <c r="AB62" s="386" t="s">
        <v>763</v>
      </c>
    </row>
    <row r="63" spans="1:35" ht="12.6" customHeight="1" x14ac:dyDescent="0.2">
      <c r="A63" s="18"/>
      <c r="B63" s="739" t="s">
        <v>396</v>
      </c>
      <c r="C63" s="740"/>
      <c r="D63" s="740"/>
      <c r="E63" s="741"/>
      <c r="F63" s="308">
        <v>1030</v>
      </c>
      <c r="G63" s="482">
        <f t="shared" si="138"/>
        <v>1030</v>
      </c>
      <c r="H63" s="271"/>
      <c r="I63" s="331"/>
      <c r="J63" s="87">
        <f>F63+220</f>
        <v>1250</v>
      </c>
      <c r="K63" s="279">
        <f t="shared" ref="K63" si="160">+J63*$X$1</f>
        <v>1250</v>
      </c>
      <c r="L63" s="440">
        <f>F63+160</f>
        <v>1190</v>
      </c>
      <c r="M63" s="279">
        <f t="shared" ref="M63" si="161">+L63*$X$1</f>
        <v>1190</v>
      </c>
      <c r="N63" s="440">
        <f>F63+120</f>
        <v>1150</v>
      </c>
      <c r="O63" s="279">
        <f t="shared" ref="O63" si="162">+N63*$X$1</f>
        <v>1150</v>
      </c>
      <c r="P63" s="440">
        <f>F63+110</f>
        <v>1140</v>
      </c>
      <c r="Q63" s="279">
        <f t="shared" ref="Q63" si="163">+P63*$X$1</f>
        <v>1140</v>
      </c>
      <c r="R63" s="440">
        <f>F63+90</f>
        <v>1120</v>
      </c>
      <c r="S63" s="279">
        <f t="shared" ref="S63" si="164">+R63*$X$1</f>
        <v>1120</v>
      </c>
      <c r="T63" s="440">
        <f>F63+80</f>
        <v>1110</v>
      </c>
      <c r="U63" s="279">
        <f t="shared" ref="U63" si="165">+T63*$X$1</f>
        <v>1110</v>
      </c>
      <c r="V63" s="440">
        <f>F63+70</f>
        <v>1100</v>
      </c>
      <c r="W63" s="279">
        <f t="shared" ref="W63" si="166">+V63*$X$1</f>
        <v>1100</v>
      </c>
      <c r="X63" s="128"/>
      <c r="Y63" s="128"/>
      <c r="Z63" s="128"/>
      <c r="AA63" s="128"/>
      <c r="AB63" s="386">
        <v>89</v>
      </c>
    </row>
    <row r="64" spans="1:35" ht="12.6" customHeight="1" x14ac:dyDescent="0.2">
      <c r="A64" s="18"/>
      <c r="B64" s="746" t="s">
        <v>487</v>
      </c>
      <c r="C64" s="691"/>
      <c r="D64" s="691"/>
      <c r="E64" s="691"/>
      <c r="F64" s="278">
        <v>578</v>
      </c>
      <c r="G64" s="327">
        <f t="shared" si="138"/>
        <v>578</v>
      </c>
      <c r="H64" s="272"/>
      <c r="I64" s="330"/>
      <c r="J64" s="70"/>
      <c r="K64" s="251"/>
      <c r="L64" s="598"/>
      <c r="M64" s="251"/>
      <c r="N64" s="598">
        <f t="shared" si="140"/>
        <v>688</v>
      </c>
      <c r="O64" s="278">
        <f t="shared" ref="O64:O65" si="167">+N64*$X$1</f>
        <v>688</v>
      </c>
      <c r="P64" s="598">
        <f t="shared" si="141"/>
        <v>678</v>
      </c>
      <c r="Q64" s="278">
        <f t="shared" ref="Q64:Q65" si="168">+P64*$X$1</f>
        <v>678</v>
      </c>
      <c r="R64" s="598">
        <f t="shared" si="142"/>
        <v>658</v>
      </c>
      <c r="S64" s="278">
        <f t="shared" ref="S64:S65" si="169">+R64*$X$1</f>
        <v>658</v>
      </c>
      <c r="T64" s="598">
        <f t="shared" si="143"/>
        <v>643</v>
      </c>
      <c r="U64" s="278">
        <f t="shared" ref="U64:U65" si="170">+T64*$X$1</f>
        <v>643</v>
      </c>
      <c r="V64" s="598">
        <f t="shared" si="144"/>
        <v>634</v>
      </c>
      <c r="W64" s="278">
        <f t="shared" ref="W64:W65" si="171">+V64*$X$1</f>
        <v>634</v>
      </c>
      <c r="X64" s="140"/>
      <c r="Y64" s="140"/>
      <c r="Z64" s="140" t="s">
        <v>78</v>
      </c>
      <c r="AA64" s="128"/>
      <c r="AB64" s="386">
        <v>91</v>
      </c>
    </row>
    <row r="65" spans="1:38" ht="12.6" customHeight="1" x14ac:dyDescent="0.2">
      <c r="A65" s="18"/>
      <c r="B65" s="831" t="s">
        <v>79</v>
      </c>
      <c r="C65" s="832"/>
      <c r="D65" s="832"/>
      <c r="E65" s="833"/>
      <c r="F65" s="279">
        <v>245</v>
      </c>
      <c r="G65" s="300">
        <f t="shared" si="138"/>
        <v>245</v>
      </c>
      <c r="H65" s="271"/>
      <c r="I65" s="331"/>
      <c r="J65" s="87"/>
      <c r="K65" s="294"/>
      <c r="L65" s="440"/>
      <c r="M65" s="294"/>
      <c r="N65" s="440">
        <f t="shared" si="140"/>
        <v>355</v>
      </c>
      <c r="O65" s="279">
        <f t="shared" si="167"/>
        <v>355</v>
      </c>
      <c r="P65" s="440">
        <f t="shared" si="141"/>
        <v>345</v>
      </c>
      <c r="Q65" s="279">
        <f t="shared" si="168"/>
        <v>345</v>
      </c>
      <c r="R65" s="440">
        <f t="shared" si="142"/>
        <v>325</v>
      </c>
      <c r="S65" s="279">
        <f t="shared" si="169"/>
        <v>325</v>
      </c>
      <c r="T65" s="440">
        <f t="shared" si="143"/>
        <v>310</v>
      </c>
      <c r="U65" s="279">
        <f t="shared" si="170"/>
        <v>310</v>
      </c>
      <c r="V65" s="440">
        <f t="shared" si="144"/>
        <v>301</v>
      </c>
      <c r="W65" s="279">
        <f t="shared" si="171"/>
        <v>301</v>
      </c>
      <c r="X65" s="140"/>
      <c r="Y65" s="140"/>
      <c r="Z65" s="140"/>
      <c r="AA65" s="128"/>
      <c r="AB65" s="386" t="s">
        <v>80</v>
      </c>
    </row>
    <row r="66" spans="1:38" ht="12.6" customHeight="1" x14ac:dyDescent="0.2">
      <c r="A66" s="18"/>
      <c r="B66" s="806" t="s">
        <v>335</v>
      </c>
      <c r="C66" s="807"/>
      <c r="D66" s="807"/>
      <c r="E66" s="808"/>
      <c r="F66" s="278"/>
      <c r="G66" s="301"/>
      <c r="H66" s="272"/>
      <c r="I66" s="272"/>
      <c r="J66" s="70"/>
      <c r="K66" s="94"/>
      <c r="L66" s="550"/>
      <c r="M66" s="251"/>
      <c r="N66" s="100"/>
      <c r="O66" s="251"/>
      <c r="P66" s="100"/>
      <c r="Q66" s="278"/>
      <c r="R66" s="100"/>
      <c r="S66" s="251"/>
      <c r="T66" s="100"/>
      <c r="U66" s="251"/>
      <c r="V66" s="100"/>
      <c r="W66" s="278"/>
      <c r="X66" s="140"/>
      <c r="Y66" s="140"/>
      <c r="Z66" s="140"/>
      <c r="AA66" s="128"/>
      <c r="AB66" s="34"/>
    </row>
    <row r="67" spans="1:38" ht="12.6" customHeight="1" x14ac:dyDescent="0.2">
      <c r="A67" s="18"/>
      <c r="B67" s="831" t="s">
        <v>336</v>
      </c>
      <c r="C67" s="832"/>
      <c r="D67" s="832"/>
      <c r="E67" s="833"/>
      <c r="F67" s="279"/>
      <c r="G67" s="300"/>
      <c r="H67" s="271"/>
      <c r="I67" s="271"/>
      <c r="J67" s="87"/>
      <c r="K67" s="92"/>
      <c r="L67" s="440"/>
      <c r="M67" s="294"/>
      <c r="N67" s="99"/>
      <c r="O67" s="294"/>
      <c r="P67" s="99"/>
      <c r="Q67" s="279"/>
      <c r="R67" s="99"/>
      <c r="S67" s="294"/>
      <c r="T67" s="99"/>
      <c r="U67" s="294"/>
      <c r="V67" s="99"/>
      <c r="W67" s="279"/>
      <c r="X67" s="140"/>
      <c r="Y67" s="140"/>
      <c r="Z67" s="140"/>
      <c r="AA67" s="128"/>
      <c r="AB67" s="34"/>
    </row>
    <row r="68" spans="1:38" ht="12.6" customHeight="1" x14ac:dyDescent="0.2">
      <c r="A68" s="18"/>
      <c r="B68" s="746" t="s">
        <v>81</v>
      </c>
      <c r="C68" s="691"/>
      <c r="D68" s="691"/>
      <c r="E68" s="691"/>
      <c r="F68" s="278">
        <v>5690</v>
      </c>
      <c r="G68" s="301">
        <f t="shared" si="138"/>
        <v>5690</v>
      </c>
      <c r="H68" s="70">
        <f>F68+600</f>
        <v>6290</v>
      </c>
      <c r="I68" s="278">
        <f>+H68*$X$1</f>
        <v>6290</v>
      </c>
      <c r="J68" s="70">
        <f>F68+200</f>
        <v>5890</v>
      </c>
      <c r="K68" s="278">
        <f t="shared" ref="K68" si="172">+J68*$X$1</f>
        <v>5890</v>
      </c>
      <c r="L68" s="598">
        <f>F68+150</f>
        <v>5840</v>
      </c>
      <c r="M68" s="278">
        <f t="shared" ref="M68" si="173">+L68*$X$1</f>
        <v>5840</v>
      </c>
      <c r="N68" s="598">
        <f>F68+110</f>
        <v>5800</v>
      </c>
      <c r="O68" s="278">
        <f t="shared" ref="O68" si="174">+N68*$X$1</f>
        <v>5800</v>
      </c>
      <c r="P68" s="598">
        <f>F68+100</f>
        <v>5790</v>
      </c>
      <c r="Q68" s="278">
        <f t="shared" ref="Q68" si="175">+P68*$X$1</f>
        <v>5790</v>
      </c>
      <c r="R68" s="598">
        <f>F68+80</f>
        <v>5770</v>
      </c>
      <c r="S68" s="278">
        <f t="shared" ref="S68" si="176">+R68*$X$1</f>
        <v>5770</v>
      </c>
      <c r="T68" s="598">
        <f>F68+65</f>
        <v>5755</v>
      </c>
      <c r="U68" s="278">
        <f t="shared" ref="U68" si="177">+T68*$X$1</f>
        <v>5755</v>
      </c>
      <c r="V68" s="598">
        <f>F68+56</f>
        <v>5746</v>
      </c>
      <c r="W68" s="278">
        <f t="shared" ref="W68" si="178">+V68*$X$1</f>
        <v>5746</v>
      </c>
      <c r="X68" s="130"/>
      <c r="Y68" s="128"/>
      <c r="Z68" s="128"/>
      <c r="AA68" s="128"/>
      <c r="AB68" s="386">
        <v>92</v>
      </c>
    </row>
    <row r="69" spans="1:38" ht="12.6" customHeight="1" x14ac:dyDescent="0.25">
      <c r="A69" s="56"/>
      <c r="B69" s="711" t="s">
        <v>455</v>
      </c>
      <c r="C69" s="745"/>
      <c r="D69" s="745"/>
      <c r="E69" s="745"/>
      <c r="F69" s="279"/>
      <c r="G69" s="294"/>
      <c r="H69" s="243"/>
      <c r="I69" s="816" t="s">
        <v>463</v>
      </c>
      <c r="J69" s="817"/>
      <c r="K69" s="817"/>
      <c r="L69" s="818"/>
      <c r="M69" s="819"/>
      <c r="N69" s="440">
        <v>850</v>
      </c>
      <c r="O69" s="300">
        <f>+N69*$X$1</f>
        <v>850</v>
      </c>
      <c r="P69" s="273">
        <v>847</v>
      </c>
      <c r="Q69" s="328">
        <f>+P69*$X$1</f>
        <v>847</v>
      </c>
      <c r="R69" s="440">
        <v>795</v>
      </c>
      <c r="S69" s="294">
        <f>+R69*$X$1</f>
        <v>795</v>
      </c>
      <c r="T69" s="440">
        <v>755</v>
      </c>
      <c r="U69" s="279">
        <f>+T69*$X$1</f>
        <v>755</v>
      </c>
      <c r="V69" s="440">
        <v>692</v>
      </c>
      <c r="W69" s="279">
        <f>+V69*$X$1</f>
        <v>692</v>
      </c>
      <c r="X69" s="797"/>
      <c r="Y69" s="797"/>
      <c r="Z69" s="797"/>
      <c r="AA69" s="797"/>
      <c r="AB69" s="189" t="s">
        <v>456</v>
      </c>
    </row>
    <row r="70" spans="1:38" ht="12.6" customHeight="1" x14ac:dyDescent="0.25">
      <c r="A70" s="56"/>
      <c r="B70" s="746" t="s">
        <v>325</v>
      </c>
      <c r="C70" s="763"/>
      <c r="D70" s="763"/>
      <c r="E70" s="763"/>
      <c r="F70" s="278"/>
      <c r="G70" s="251"/>
      <c r="H70" s="103"/>
      <c r="I70" s="934" t="s">
        <v>463</v>
      </c>
      <c r="J70" s="935"/>
      <c r="K70" s="935"/>
      <c r="L70" s="936"/>
      <c r="M70" s="937"/>
      <c r="N70" s="508">
        <v>912</v>
      </c>
      <c r="O70" s="301">
        <f>+N70*$X$1</f>
        <v>912</v>
      </c>
      <c r="P70" s="285">
        <v>909</v>
      </c>
      <c r="Q70" s="296">
        <f>+P70*$X$1</f>
        <v>909</v>
      </c>
      <c r="R70" s="508">
        <v>853</v>
      </c>
      <c r="S70" s="251">
        <f>+R70*$X$1</f>
        <v>853</v>
      </c>
      <c r="T70" s="508">
        <v>827</v>
      </c>
      <c r="U70" s="278">
        <f>+T70*$X$1</f>
        <v>827</v>
      </c>
      <c r="V70" s="508">
        <v>750</v>
      </c>
      <c r="W70" s="278">
        <f>+V70*$X$1</f>
        <v>750</v>
      </c>
      <c r="X70" s="797"/>
      <c r="Y70" s="797"/>
      <c r="Z70" s="797"/>
      <c r="AA70" s="797"/>
      <c r="AB70" s="189" t="s">
        <v>82</v>
      </c>
    </row>
    <row r="71" spans="1:38" ht="12.6" customHeight="1" x14ac:dyDescent="0.25">
      <c r="A71" s="56"/>
      <c r="B71" s="711" t="s">
        <v>457</v>
      </c>
      <c r="C71" s="745"/>
      <c r="D71" s="745"/>
      <c r="E71" s="745"/>
      <c r="F71" s="279"/>
      <c r="G71" s="294"/>
      <c r="H71" s="243"/>
      <c r="I71" s="816" t="s">
        <v>463</v>
      </c>
      <c r="J71" s="817"/>
      <c r="K71" s="817"/>
      <c r="L71" s="818"/>
      <c r="M71" s="819"/>
      <c r="N71" s="440">
        <v>1270</v>
      </c>
      <c r="O71" s="300">
        <f>+N71*$X$1</f>
        <v>1270</v>
      </c>
      <c r="P71" s="284">
        <v>1265</v>
      </c>
      <c r="Q71" s="328">
        <f>+P71*$X$1</f>
        <v>1265</v>
      </c>
      <c r="R71" s="440">
        <v>1207</v>
      </c>
      <c r="S71" s="294">
        <f>+R71*$X$1</f>
        <v>1207</v>
      </c>
      <c r="T71" s="440">
        <v>1180</v>
      </c>
      <c r="U71" s="279">
        <f>+T71*$X$1</f>
        <v>1180</v>
      </c>
      <c r="V71" s="440">
        <v>1103</v>
      </c>
      <c r="W71" s="279">
        <f>+V71*$X$1</f>
        <v>1103</v>
      </c>
      <c r="X71" s="797"/>
      <c r="Y71" s="797"/>
      <c r="Z71" s="797"/>
      <c r="AA71" s="797"/>
      <c r="AB71" s="189" t="s">
        <v>458</v>
      </c>
    </row>
    <row r="72" spans="1:38" ht="12.6" customHeight="1" x14ac:dyDescent="0.25">
      <c r="A72" s="18"/>
      <c r="B72" s="746" t="s">
        <v>326</v>
      </c>
      <c r="C72" s="763"/>
      <c r="D72" s="763"/>
      <c r="E72" s="763"/>
      <c r="F72" s="278"/>
      <c r="G72" s="251"/>
      <c r="H72" s="103"/>
      <c r="I72" s="813"/>
      <c r="J72" s="814"/>
      <c r="K72" s="814"/>
      <c r="L72" s="272"/>
      <c r="M72" s="330"/>
      <c r="N72" s="508"/>
      <c r="O72" s="301"/>
      <c r="P72" s="508"/>
      <c r="Q72" s="278"/>
      <c r="R72" s="508"/>
      <c r="S72" s="251"/>
      <c r="T72" s="508"/>
      <c r="U72" s="278"/>
      <c r="V72" s="109"/>
      <c r="W72" s="278"/>
      <c r="X72" s="797"/>
      <c r="Y72" s="797"/>
      <c r="Z72" s="797"/>
      <c r="AA72" s="797"/>
      <c r="AB72" s="189" t="s">
        <v>83</v>
      </c>
      <c r="AH72" s="4"/>
      <c r="AI72" s="4"/>
      <c r="AJ72" s="4"/>
    </row>
    <row r="73" spans="1:38" s="6" customFormat="1" ht="12.6" customHeight="1" x14ac:dyDescent="0.25">
      <c r="A73" s="56"/>
      <c r="B73" s="933" t="s">
        <v>385</v>
      </c>
      <c r="C73" s="772"/>
      <c r="D73" s="772"/>
      <c r="E73" s="773"/>
      <c r="F73" s="279"/>
      <c r="G73" s="294"/>
      <c r="H73" s="440"/>
      <c r="I73" s="300"/>
      <c r="J73" s="282"/>
      <c r="K73" s="345"/>
      <c r="L73" s="444">
        <v>2410</v>
      </c>
      <c r="M73" s="279">
        <f>+L73*$X$1</f>
        <v>2410</v>
      </c>
      <c r="N73" s="440">
        <v>2140</v>
      </c>
      <c r="O73" s="300">
        <f>+N73*$X$1</f>
        <v>2140</v>
      </c>
      <c r="P73" s="371">
        <v>1961</v>
      </c>
      <c r="Q73" s="328">
        <f>+P73*$X$1</f>
        <v>1961</v>
      </c>
      <c r="R73" s="440">
        <v>1958</v>
      </c>
      <c r="S73" s="294">
        <f>+R73*$X$1</f>
        <v>1958</v>
      </c>
      <c r="T73" s="440">
        <v>1890</v>
      </c>
      <c r="U73" s="279">
        <f>+T73*$X$1</f>
        <v>1890</v>
      </c>
      <c r="V73" s="506"/>
      <c r="W73" s="343"/>
      <c r="X73" s="241"/>
      <c r="Y73" s="242"/>
      <c r="Z73" s="242"/>
      <c r="AA73" s="242"/>
      <c r="AB73" s="189" t="s">
        <v>84</v>
      </c>
      <c r="AC73" s="8"/>
      <c r="AD73" s="8"/>
      <c r="AE73" s="8"/>
      <c r="AF73" s="8"/>
      <c r="AG73" s="8"/>
      <c r="AH73" s="55"/>
      <c r="AI73" s="24"/>
      <c r="AJ73" s="55"/>
      <c r="AK73" s="8"/>
      <c r="AL73" s="8"/>
    </row>
    <row r="74" spans="1:38" s="6" customFormat="1" ht="12.6" customHeight="1" x14ac:dyDescent="0.25">
      <c r="A74" s="56"/>
      <c r="B74" s="794" t="s">
        <v>386</v>
      </c>
      <c r="C74" s="795"/>
      <c r="D74" s="795"/>
      <c r="E74" s="796"/>
      <c r="F74" s="278"/>
      <c r="G74" s="441"/>
      <c r="H74" s="305"/>
      <c r="I74" s="442"/>
      <c r="J74" s="306"/>
      <c r="K74" s="344"/>
      <c r="L74" s="443">
        <v>3250</v>
      </c>
      <c r="M74" s="278">
        <f>+L74*$X$1</f>
        <v>3250</v>
      </c>
      <c r="N74" s="508">
        <v>2996</v>
      </c>
      <c r="O74" s="442">
        <f>+N74*$X$1</f>
        <v>2996</v>
      </c>
      <c r="P74" s="370">
        <v>2913</v>
      </c>
      <c r="Q74" s="296">
        <f>+P74*$X$1</f>
        <v>2913</v>
      </c>
      <c r="R74" s="508">
        <v>2909</v>
      </c>
      <c r="S74" s="441">
        <f>+R74*$X$1</f>
        <v>2909</v>
      </c>
      <c r="T74" s="508">
        <v>2713</v>
      </c>
      <c r="U74" s="278">
        <f>+T74*$X$1</f>
        <v>2713</v>
      </c>
      <c r="V74" s="507"/>
      <c r="W74" s="342"/>
      <c r="X74" s="799"/>
      <c r="Y74" s="800"/>
      <c r="Z74" s="800"/>
      <c r="AA74" s="800"/>
      <c r="AB74" s="189" t="s">
        <v>85</v>
      </c>
      <c r="AC74" s="8"/>
      <c r="AD74" s="8"/>
      <c r="AE74" s="8"/>
      <c r="AF74" s="8"/>
      <c r="AG74" s="8"/>
      <c r="AH74" s="55"/>
      <c r="AI74" s="55"/>
      <c r="AJ74" s="55"/>
      <c r="AK74" s="8"/>
      <c r="AL74" s="8"/>
    </row>
    <row r="75" spans="1:38" ht="12.6" customHeight="1" x14ac:dyDescent="0.2">
      <c r="A75" s="95"/>
      <c r="B75" s="105"/>
      <c r="C75" s="66"/>
      <c r="D75" s="66"/>
      <c r="E75" s="66"/>
      <c r="F75" s="180"/>
      <c r="G75" s="180"/>
      <c r="H75" s="180"/>
      <c r="I75" s="180"/>
      <c r="J75" s="180"/>
      <c r="K75" s="180"/>
      <c r="L75" s="106"/>
      <c r="M75" s="106"/>
      <c r="N75" s="107"/>
      <c r="O75" s="107"/>
      <c r="P75" s="107"/>
      <c r="Q75" s="108"/>
      <c r="R75" s="86"/>
      <c r="S75" s="62"/>
      <c r="T75" s="62"/>
      <c r="U75" s="62"/>
      <c r="V75" s="62"/>
      <c r="W75" s="62"/>
      <c r="X75" s="75"/>
      <c r="AB75" s="104"/>
    </row>
    <row r="76" spans="1:38" ht="12.6" customHeight="1" x14ac:dyDescent="0.2">
      <c r="A76" s="95"/>
      <c r="B76" s="105"/>
      <c r="C76" s="304"/>
      <c r="D76" s="304"/>
      <c r="E76" s="304"/>
      <c r="F76" s="231"/>
      <c r="G76" s="231"/>
      <c r="H76" s="231"/>
      <c r="I76" s="231"/>
      <c r="J76" s="231"/>
      <c r="K76" s="231"/>
      <c r="L76" s="106"/>
      <c r="M76" s="106"/>
      <c r="N76" s="107"/>
      <c r="O76" s="107"/>
      <c r="P76" s="107"/>
      <c r="Q76" s="108"/>
      <c r="R76" s="86"/>
      <c r="S76" s="62"/>
      <c r="T76" s="62"/>
      <c r="U76" s="62"/>
      <c r="V76" s="62"/>
      <c r="W76" s="62"/>
      <c r="X76" s="75"/>
      <c r="AB76" s="104"/>
    </row>
    <row r="77" spans="1:38" ht="12.6" customHeight="1" x14ac:dyDescent="0.2">
      <c r="A77" s="95"/>
      <c r="B77" s="105"/>
      <c r="C77" s="609"/>
      <c r="D77" s="609"/>
      <c r="E77" s="609"/>
      <c r="F77" s="231"/>
      <c r="G77" s="231"/>
      <c r="H77" s="231"/>
      <c r="I77" s="231"/>
      <c r="J77" s="231"/>
      <c r="K77" s="231"/>
      <c r="L77" s="106"/>
      <c r="M77" s="106"/>
      <c r="N77" s="107"/>
      <c r="O77" s="107"/>
      <c r="P77" s="107"/>
      <c r="Q77" s="108"/>
      <c r="R77" s="86"/>
      <c r="S77" s="62"/>
      <c r="T77" s="62"/>
      <c r="U77" s="62"/>
      <c r="V77" s="62"/>
      <c r="W77" s="62"/>
      <c r="X77" s="75"/>
      <c r="AB77" s="104"/>
    </row>
    <row r="78" spans="1:38" ht="12.6" customHeight="1" x14ac:dyDescent="0.2">
      <c r="A78" s="95"/>
      <c r="B78" s="105"/>
      <c r="C78" s="232"/>
      <c r="D78" s="232"/>
      <c r="E78" s="232"/>
      <c r="F78" s="231"/>
      <c r="G78" s="231"/>
      <c r="H78" s="231"/>
      <c r="I78" s="231"/>
      <c r="J78" s="231"/>
      <c r="K78" s="231"/>
      <c r="L78" s="106"/>
      <c r="M78" s="106"/>
      <c r="N78" s="107"/>
      <c r="O78" s="107"/>
      <c r="P78" s="107"/>
      <c r="Q78" s="108"/>
      <c r="R78" s="86"/>
      <c r="S78" s="62"/>
      <c r="T78" s="62"/>
      <c r="U78" s="62"/>
      <c r="V78" s="62"/>
      <c r="W78" s="62"/>
      <c r="X78" s="75"/>
      <c r="AB78" s="104"/>
    </row>
    <row r="79" spans="1:38" ht="15.75" customHeight="1" x14ac:dyDescent="0.2">
      <c r="A79" s="18"/>
      <c r="B79" s="654" t="s">
        <v>11</v>
      </c>
      <c r="C79" s="925" t="s">
        <v>12</v>
      </c>
      <c r="D79" s="926"/>
      <c r="E79" s="926"/>
      <c r="F79" s="764" t="s">
        <v>13</v>
      </c>
      <c r="G79" s="764" t="s">
        <v>13</v>
      </c>
      <c r="H79" s="657" t="s">
        <v>790</v>
      </c>
      <c r="I79" s="657"/>
      <c r="J79" s="658"/>
      <c r="K79" s="658"/>
      <c r="L79" s="658"/>
      <c r="M79" s="658"/>
      <c r="N79" s="658"/>
      <c r="O79" s="658"/>
      <c r="P79" s="658"/>
      <c r="Q79" s="658"/>
      <c r="R79" s="658"/>
      <c r="S79" s="658"/>
      <c r="T79" s="658"/>
      <c r="U79" s="658"/>
      <c r="V79" s="658"/>
      <c r="W79" s="658"/>
      <c r="X79" s="678" t="s">
        <v>14</v>
      </c>
      <c r="Y79" s="679"/>
      <c r="Z79" s="679"/>
      <c r="AA79" s="680"/>
      <c r="AB79" s="676" t="s">
        <v>15</v>
      </c>
      <c r="AF79" s="674" t="s">
        <v>3</v>
      </c>
      <c r="AG79" s="675"/>
      <c r="AH79" s="675"/>
    </row>
    <row r="80" spans="1:38" ht="12" customHeight="1" x14ac:dyDescent="0.2">
      <c r="A80" s="18"/>
      <c r="B80" s="654"/>
      <c r="C80" s="926"/>
      <c r="D80" s="926"/>
      <c r="E80" s="926"/>
      <c r="F80" s="765"/>
      <c r="G80" s="765"/>
      <c r="H80" s="453"/>
      <c r="I80" s="451" t="s">
        <v>285</v>
      </c>
      <c r="J80" s="453"/>
      <c r="K80" s="451" t="s">
        <v>17</v>
      </c>
      <c r="L80" s="454"/>
      <c r="M80" s="454" t="s">
        <v>18</v>
      </c>
      <c r="N80" s="454"/>
      <c r="O80" s="451" t="s">
        <v>19</v>
      </c>
      <c r="P80" s="454"/>
      <c r="Q80" s="454" t="s">
        <v>286</v>
      </c>
      <c r="R80" s="454"/>
      <c r="S80" s="454" t="s">
        <v>20</v>
      </c>
      <c r="T80" s="454"/>
      <c r="U80" s="454" t="s">
        <v>21</v>
      </c>
      <c r="V80" s="454"/>
      <c r="W80" s="454" t="s">
        <v>22</v>
      </c>
      <c r="X80" s="681"/>
      <c r="Y80" s="682"/>
      <c r="Z80" s="682"/>
      <c r="AA80" s="683"/>
      <c r="AB80" s="677"/>
    </row>
    <row r="81" spans="1:34" ht="12.6" customHeight="1" x14ac:dyDescent="0.2">
      <c r="A81" s="18"/>
      <c r="B81" s="659" t="s">
        <v>86</v>
      </c>
      <c r="C81" s="660"/>
      <c r="D81" s="660"/>
      <c r="E81" s="946"/>
      <c r="F81" s="834" t="s">
        <v>651</v>
      </c>
      <c r="G81" s="835"/>
      <c r="H81" s="835"/>
      <c r="I81" s="835"/>
      <c r="J81" s="557"/>
      <c r="K81" s="552"/>
      <c r="L81" s="555"/>
      <c r="M81" s="308"/>
      <c r="N81" s="99"/>
      <c r="O81" s="482"/>
      <c r="P81" s="556"/>
      <c r="Q81" s="482"/>
      <c r="R81" s="99"/>
      <c r="S81" s="308"/>
      <c r="T81" s="99"/>
      <c r="U81" s="308"/>
      <c r="V81" s="99"/>
      <c r="W81" s="308"/>
      <c r="X81" s="128"/>
      <c r="Y81" s="128"/>
      <c r="Z81" s="128"/>
      <c r="AA81" s="128"/>
      <c r="AB81" s="393" t="s">
        <v>87</v>
      </c>
      <c r="AC81" s="389" t="s">
        <v>88</v>
      </c>
      <c r="AD81" s="389" t="s">
        <v>89</v>
      </c>
      <c r="AE81" s="389" t="s">
        <v>90</v>
      </c>
      <c r="AF81" s="389" t="s">
        <v>91</v>
      </c>
      <c r="AG81" s="389" t="s">
        <v>92</v>
      </c>
    </row>
    <row r="82" spans="1:34" ht="12.6" customHeight="1" x14ac:dyDescent="0.2">
      <c r="A82" s="18"/>
      <c r="B82" s="690" t="s">
        <v>93</v>
      </c>
      <c r="C82" s="691"/>
      <c r="D82" s="691"/>
      <c r="E82" s="839"/>
      <c r="F82" s="836"/>
      <c r="G82" s="835"/>
      <c r="H82" s="835"/>
      <c r="I82" s="835"/>
      <c r="J82" s="257"/>
      <c r="K82" s="272"/>
      <c r="L82" s="472"/>
      <c r="M82" s="278"/>
      <c r="N82" s="100"/>
      <c r="O82" s="301"/>
      <c r="P82" s="309"/>
      <c r="Q82" s="296"/>
      <c r="R82" s="100"/>
      <c r="S82" s="251"/>
      <c r="T82" s="100"/>
      <c r="U82" s="278"/>
      <c r="V82" s="547"/>
      <c r="W82" s="278"/>
      <c r="X82" s="131"/>
      <c r="Y82" s="131"/>
      <c r="Z82" s="131"/>
      <c r="AA82" s="131"/>
      <c r="AB82" s="393" t="s">
        <v>94</v>
      </c>
      <c r="AC82" s="389" t="s">
        <v>95</v>
      </c>
      <c r="AD82" s="389" t="s">
        <v>96</v>
      </c>
      <c r="AE82" s="389" t="s">
        <v>97</v>
      </c>
      <c r="AF82" s="389" t="s">
        <v>98</v>
      </c>
      <c r="AG82" s="389" t="s">
        <v>99</v>
      </c>
      <c r="AH82" s="389" t="s">
        <v>100</v>
      </c>
    </row>
    <row r="83" spans="1:34" ht="12.6" customHeight="1" x14ac:dyDescent="0.25">
      <c r="A83" s="18"/>
      <c r="B83" s="672" t="s">
        <v>101</v>
      </c>
      <c r="C83" s="673"/>
      <c r="D83" s="673"/>
      <c r="E83" s="798"/>
      <c r="F83" s="836"/>
      <c r="G83" s="835"/>
      <c r="H83" s="835"/>
      <c r="I83" s="835"/>
      <c r="J83" s="257"/>
      <c r="K83" s="271"/>
      <c r="L83" s="291"/>
      <c r="M83" s="279"/>
      <c r="N83" s="440"/>
      <c r="O83" s="300"/>
      <c r="P83" s="273"/>
      <c r="Q83" s="328"/>
      <c r="R83" s="440"/>
      <c r="S83" s="294"/>
      <c r="T83" s="440"/>
      <c r="U83" s="279"/>
      <c r="V83" s="440"/>
      <c r="W83" s="279"/>
      <c r="X83" s="820"/>
      <c r="Y83" s="821"/>
      <c r="Z83" s="821"/>
      <c r="AA83" s="182"/>
      <c r="AB83" s="393" t="s">
        <v>102</v>
      </c>
      <c r="AC83" s="389" t="s">
        <v>103</v>
      </c>
      <c r="AD83" s="389" t="s">
        <v>104</v>
      </c>
      <c r="AE83" s="389" t="s">
        <v>105</v>
      </c>
      <c r="AF83" s="389" t="s">
        <v>106</v>
      </c>
      <c r="AG83" s="394" t="s">
        <v>107</v>
      </c>
      <c r="AH83" s="389" t="s">
        <v>108</v>
      </c>
    </row>
    <row r="84" spans="1:34" ht="12.6" customHeight="1" x14ac:dyDescent="0.25">
      <c r="A84" s="18"/>
      <c r="B84" s="690" t="s">
        <v>109</v>
      </c>
      <c r="C84" s="691"/>
      <c r="D84" s="691"/>
      <c r="E84" s="839"/>
      <c r="F84" s="836"/>
      <c r="G84" s="835"/>
      <c r="H84" s="835"/>
      <c r="I84" s="835"/>
      <c r="J84" s="257"/>
      <c r="K84" s="272"/>
      <c r="L84" s="472"/>
      <c r="M84" s="278"/>
      <c r="N84" s="547"/>
      <c r="O84" s="301"/>
      <c r="P84" s="309"/>
      <c r="Q84" s="296"/>
      <c r="R84" s="547"/>
      <c r="S84" s="251"/>
      <c r="T84" s="547"/>
      <c r="U84" s="278"/>
      <c r="V84" s="547"/>
      <c r="W84" s="278"/>
      <c r="X84" s="820"/>
      <c r="Y84" s="821"/>
      <c r="Z84" s="821"/>
      <c r="AA84" s="182"/>
      <c r="AB84" s="393" t="s">
        <v>110</v>
      </c>
      <c r="AC84" s="395" t="s">
        <v>111</v>
      </c>
      <c r="AD84" s="395" t="s">
        <v>112</v>
      </c>
      <c r="AE84" s="395" t="s">
        <v>113</v>
      </c>
      <c r="AF84" s="395" t="s">
        <v>114</v>
      </c>
      <c r="AG84" s="30"/>
    </row>
    <row r="85" spans="1:34" ht="12.6" customHeight="1" x14ac:dyDescent="0.2">
      <c r="A85" s="18"/>
      <c r="B85" s="672" t="s">
        <v>115</v>
      </c>
      <c r="C85" s="673"/>
      <c r="D85" s="673"/>
      <c r="E85" s="798"/>
      <c r="F85" s="836"/>
      <c r="G85" s="835"/>
      <c r="H85" s="835"/>
      <c r="I85" s="835"/>
      <c r="J85" s="257"/>
      <c r="K85" s="271"/>
      <c r="L85" s="291"/>
      <c r="M85" s="279"/>
      <c r="N85" s="440"/>
      <c r="O85" s="300"/>
      <c r="P85" s="273"/>
      <c r="Q85" s="328"/>
      <c r="R85" s="440"/>
      <c r="S85" s="294"/>
      <c r="T85" s="440"/>
      <c r="U85" s="279"/>
      <c r="V85" s="440"/>
      <c r="W85" s="279"/>
      <c r="X85" s="145"/>
      <c r="Y85" s="145"/>
      <c r="Z85" s="145"/>
      <c r="AA85" s="145"/>
      <c r="AB85" s="31" t="s">
        <v>116</v>
      </c>
      <c r="AC85" s="389" t="s">
        <v>117</v>
      </c>
      <c r="AD85" s="389" t="s">
        <v>118</v>
      </c>
      <c r="AE85" s="389" t="s">
        <v>119</v>
      </c>
      <c r="AF85" s="389" t="s">
        <v>120</v>
      </c>
      <c r="AG85" s="389" t="s">
        <v>121</v>
      </c>
    </row>
    <row r="86" spans="1:34" ht="12.6" customHeight="1" x14ac:dyDescent="0.2">
      <c r="A86" s="18"/>
      <c r="B86" s="690" t="s">
        <v>122</v>
      </c>
      <c r="C86" s="691"/>
      <c r="D86" s="691"/>
      <c r="E86" s="839"/>
      <c r="F86" s="836"/>
      <c r="G86" s="835"/>
      <c r="H86" s="835"/>
      <c r="I86" s="835"/>
      <c r="J86" s="257"/>
      <c r="K86" s="272"/>
      <c r="L86" s="472"/>
      <c r="M86" s="278"/>
      <c r="N86" s="547"/>
      <c r="O86" s="301"/>
      <c r="P86" s="309"/>
      <c r="Q86" s="296"/>
      <c r="R86" s="547"/>
      <c r="S86" s="251"/>
      <c r="T86" s="547"/>
      <c r="U86" s="278"/>
      <c r="V86" s="547"/>
      <c r="W86" s="278"/>
      <c r="X86" s="145"/>
      <c r="Y86" s="145"/>
      <c r="Z86" s="145"/>
      <c r="AA86" s="145"/>
      <c r="AB86" s="31" t="s">
        <v>123</v>
      </c>
      <c r="AC86" s="395" t="s">
        <v>124</v>
      </c>
      <c r="AD86" s="395" t="s">
        <v>125</v>
      </c>
      <c r="AE86" s="395" t="s">
        <v>126</v>
      </c>
    </row>
    <row r="87" spans="1:34" ht="12.6" customHeight="1" x14ac:dyDescent="0.25">
      <c r="A87" s="18"/>
      <c r="B87" s="672" t="s">
        <v>127</v>
      </c>
      <c r="C87" s="673"/>
      <c r="D87" s="673"/>
      <c r="E87" s="798"/>
      <c r="F87" s="836"/>
      <c r="G87" s="835"/>
      <c r="H87" s="835"/>
      <c r="I87" s="835"/>
      <c r="J87" s="255"/>
      <c r="K87" s="271"/>
      <c r="L87" s="291"/>
      <c r="M87" s="279"/>
      <c r="N87" s="440"/>
      <c r="O87" s="300"/>
      <c r="P87" s="273"/>
      <c r="Q87" s="328"/>
      <c r="R87" s="440"/>
      <c r="S87" s="294"/>
      <c r="T87" s="440"/>
      <c r="U87" s="279"/>
      <c r="V87" s="440"/>
      <c r="W87" s="279"/>
      <c r="X87" s="820"/>
      <c r="Y87" s="821"/>
      <c r="Z87" s="821"/>
      <c r="AA87" s="182"/>
      <c r="AB87" s="31" t="s">
        <v>128</v>
      </c>
      <c r="AC87" s="389" t="s">
        <v>129</v>
      </c>
      <c r="AD87" s="389" t="s">
        <v>130</v>
      </c>
      <c r="AE87" s="389" t="s">
        <v>131</v>
      </c>
      <c r="AF87" s="389" t="s">
        <v>132</v>
      </c>
      <c r="AG87" s="389" t="s">
        <v>133</v>
      </c>
      <c r="AH87" s="389" t="s">
        <v>134</v>
      </c>
    </row>
    <row r="88" spans="1:34" ht="12.6" customHeight="1" x14ac:dyDescent="0.25">
      <c r="A88" s="18"/>
      <c r="B88" s="690" t="s">
        <v>135</v>
      </c>
      <c r="C88" s="691"/>
      <c r="D88" s="691"/>
      <c r="E88" s="839"/>
      <c r="F88" s="836"/>
      <c r="G88" s="835"/>
      <c r="H88" s="835"/>
      <c r="I88" s="835"/>
      <c r="J88" s="257"/>
      <c r="K88" s="272"/>
      <c r="L88" s="472"/>
      <c r="M88" s="278"/>
      <c r="N88" s="547"/>
      <c r="O88" s="301"/>
      <c r="P88" s="309"/>
      <c r="Q88" s="296"/>
      <c r="R88" s="547"/>
      <c r="S88" s="251"/>
      <c r="T88" s="547"/>
      <c r="U88" s="278"/>
      <c r="V88" s="547"/>
      <c r="W88" s="278"/>
      <c r="X88" s="820"/>
      <c r="Y88" s="821"/>
      <c r="Z88" s="821"/>
      <c r="AA88" s="182"/>
      <c r="AB88" s="391" t="s">
        <v>136</v>
      </c>
      <c r="AC88" s="63"/>
      <c r="AD88" s="63"/>
      <c r="AE88" s="63"/>
      <c r="AF88" s="63"/>
      <c r="AG88" s="63"/>
    </row>
    <row r="89" spans="1:34" ht="12.6" customHeight="1" x14ac:dyDescent="0.2">
      <c r="A89" s="18"/>
      <c r="B89" s="672" t="s">
        <v>137</v>
      </c>
      <c r="C89" s="673"/>
      <c r="D89" s="673"/>
      <c r="E89" s="798"/>
      <c r="F89" s="836"/>
      <c r="G89" s="835"/>
      <c r="H89" s="835"/>
      <c r="I89" s="835"/>
      <c r="J89" s="255"/>
      <c r="K89" s="271"/>
      <c r="L89" s="291"/>
      <c r="M89" s="279"/>
      <c r="N89" s="440"/>
      <c r="O89" s="300"/>
      <c r="P89" s="273"/>
      <c r="Q89" s="328"/>
      <c r="R89" s="440"/>
      <c r="S89" s="294"/>
      <c r="T89" s="440"/>
      <c r="U89" s="279"/>
      <c r="V89" s="440"/>
      <c r="W89" s="279"/>
      <c r="X89" s="144"/>
      <c r="Y89" s="144"/>
      <c r="Z89" s="144"/>
      <c r="AA89" s="144"/>
      <c r="AB89" s="389" t="s">
        <v>138</v>
      </c>
      <c r="AC89" s="63"/>
      <c r="AD89" s="63"/>
      <c r="AE89" s="63"/>
      <c r="AF89" s="63"/>
      <c r="AG89" s="63"/>
    </row>
    <row r="90" spans="1:34" ht="12.6" customHeight="1" x14ac:dyDescent="0.2">
      <c r="A90" s="18"/>
      <c r="B90" s="690" t="s">
        <v>139</v>
      </c>
      <c r="C90" s="691"/>
      <c r="D90" s="691"/>
      <c r="E90" s="839"/>
      <c r="F90" s="836"/>
      <c r="G90" s="835"/>
      <c r="H90" s="835"/>
      <c r="I90" s="835"/>
      <c r="J90" s="257"/>
      <c r="K90" s="272"/>
      <c r="L90" s="472"/>
      <c r="M90" s="278"/>
      <c r="N90" s="547"/>
      <c r="O90" s="301"/>
      <c r="P90" s="309"/>
      <c r="Q90" s="301"/>
      <c r="R90" s="547"/>
      <c r="S90" s="301"/>
      <c r="T90" s="547"/>
      <c r="U90" s="278"/>
      <c r="V90" s="547"/>
      <c r="W90" s="278"/>
      <c r="X90" s="144"/>
      <c r="Y90" s="144"/>
      <c r="Z90" s="144"/>
      <c r="AA90" s="144"/>
      <c r="AB90" s="389" t="s">
        <v>140</v>
      </c>
      <c r="AC90" s="63"/>
      <c r="AD90" s="63"/>
      <c r="AE90" s="63"/>
      <c r="AF90" s="63"/>
      <c r="AG90" s="63"/>
    </row>
    <row r="91" spans="1:34" ht="12.6" customHeight="1" x14ac:dyDescent="0.2">
      <c r="A91" s="18"/>
      <c r="B91" s="672" t="s">
        <v>141</v>
      </c>
      <c r="C91" s="673"/>
      <c r="D91" s="673"/>
      <c r="E91" s="798"/>
      <c r="F91" s="837"/>
      <c r="G91" s="838"/>
      <c r="H91" s="838"/>
      <c r="I91" s="838"/>
      <c r="J91" s="255"/>
      <c r="K91" s="271"/>
      <c r="L91" s="291"/>
      <c r="M91" s="279"/>
      <c r="N91" s="440"/>
      <c r="O91" s="339"/>
      <c r="P91" s="273"/>
      <c r="Q91" s="328"/>
      <c r="R91" s="93"/>
      <c r="S91" s="335"/>
      <c r="T91" s="440"/>
      <c r="U91" s="279"/>
      <c r="V91" s="440"/>
      <c r="W91" s="279"/>
      <c r="X91" s="128"/>
      <c r="Y91" s="128"/>
      <c r="Z91" s="128"/>
      <c r="AA91" s="128"/>
      <c r="AB91" s="392" t="s">
        <v>142</v>
      </c>
      <c r="AC91" s="389" t="s">
        <v>143</v>
      </c>
      <c r="AD91" s="389" t="s">
        <v>144</v>
      </c>
      <c r="AE91" s="389" t="s">
        <v>145</v>
      </c>
      <c r="AF91" s="389" t="s">
        <v>146</v>
      </c>
      <c r="AG91" s="389" t="s">
        <v>147</v>
      </c>
    </row>
    <row r="92" spans="1:34" ht="12.6" customHeight="1" x14ac:dyDescent="0.2">
      <c r="A92" s="18"/>
      <c r="B92" s="690" t="s">
        <v>451</v>
      </c>
      <c r="C92" s="691"/>
      <c r="D92" s="691"/>
      <c r="E92" s="691"/>
      <c r="F92" s="278"/>
      <c r="G92" s="296"/>
      <c r="H92" s="257"/>
      <c r="I92" s="554"/>
      <c r="J92" s="547"/>
      <c r="K92" s="278"/>
      <c r="L92" s="547"/>
      <c r="M92" s="278"/>
      <c r="N92" s="547"/>
      <c r="O92" s="278"/>
      <c r="P92" s="547"/>
      <c r="Q92" s="278"/>
      <c r="R92" s="547"/>
      <c r="S92" s="278"/>
      <c r="T92" s="547"/>
      <c r="U92" s="278"/>
      <c r="V92" s="70"/>
      <c r="W92" s="333"/>
      <c r="X92" s="155"/>
      <c r="Y92" s="131"/>
      <c r="Z92" s="131"/>
      <c r="AA92" s="134"/>
      <c r="AB92" s="390">
        <v>117</v>
      </c>
    </row>
    <row r="93" spans="1:34" ht="12.6" customHeight="1" x14ac:dyDescent="0.2">
      <c r="A93" s="18"/>
      <c r="B93" s="748" t="s">
        <v>469</v>
      </c>
      <c r="C93" s="772"/>
      <c r="D93" s="772"/>
      <c r="E93" s="773"/>
      <c r="F93" s="279"/>
      <c r="G93" s="328"/>
      <c r="H93" s="255"/>
      <c r="I93" s="271"/>
      <c r="J93" s="440"/>
      <c r="K93" s="279"/>
      <c r="L93" s="440"/>
      <c r="M93" s="279"/>
      <c r="N93" s="440"/>
      <c r="O93" s="279"/>
      <c r="P93" s="440"/>
      <c r="Q93" s="279"/>
      <c r="R93" s="440"/>
      <c r="S93" s="279"/>
      <c r="T93" s="440"/>
      <c r="U93" s="279"/>
      <c r="V93" s="87"/>
      <c r="W93" s="332"/>
      <c r="X93" s="155"/>
      <c r="Y93" s="131"/>
      <c r="Z93" s="131"/>
      <c r="AA93" s="134"/>
      <c r="AB93" s="390"/>
    </row>
    <row r="94" spans="1:34" ht="12.6" customHeight="1" x14ac:dyDescent="0.2">
      <c r="A94" s="18"/>
      <c r="B94" s="690" t="s">
        <v>452</v>
      </c>
      <c r="C94" s="691"/>
      <c r="D94" s="691"/>
      <c r="E94" s="691"/>
      <c r="F94" s="278"/>
      <c r="G94" s="296"/>
      <c r="H94" s="257"/>
      <c r="I94" s="272"/>
      <c r="J94" s="547"/>
      <c r="K94" s="278"/>
      <c r="L94" s="547"/>
      <c r="M94" s="278"/>
      <c r="N94" s="547"/>
      <c r="O94" s="278"/>
      <c r="P94" s="547"/>
      <c r="Q94" s="278"/>
      <c r="R94" s="547"/>
      <c r="S94" s="278"/>
      <c r="T94" s="547"/>
      <c r="U94" s="278"/>
      <c r="V94" s="70"/>
      <c r="W94" s="333"/>
      <c r="X94" s="155"/>
      <c r="Y94" s="131"/>
      <c r="Z94" s="131"/>
      <c r="AA94" s="134"/>
      <c r="AB94" s="390">
        <v>129</v>
      </c>
    </row>
    <row r="95" spans="1:34" ht="12.6" customHeight="1" x14ac:dyDescent="0.2">
      <c r="A95" s="101"/>
      <c r="B95" s="753" t="s">
        <v>379</v>
      </c>
      <c r="C95" s="754"/>
      <c r="D95" s="754"/>
      <c r="E95" s="754"/>
      <c r="F95" s="510">
        <v>480</v>
      </c>
      <c r="G95" s="518">
        <f t="shared" ref="G95:G100" si="179">+F95*$X$1</f>
        <v>480</v>
      </c>
      <c r="H95" s="512"/>
      <c r="I95" s="512"/>
      <c r="J95" s="626">
        <f>F95+200</f>
        <v>680</v>
      </c>
      <c r="K95" s="627">
        <f>+J95*$X$1</f>
        <v>680</v>
      </c>
      <c r="L95" s="628">
        <f>F95+150</f>
        <v>630</v>
      </c>
      <c r="M95" s="627">
        <f t="shared" ref="M95:M97" si="180">+L95*$X$1</f>
        <v>630</v>
      </c>
      <c r="N95" s="519">
        <f>F95+7.2</f>
        <v>487.2</v>
      </c>
      <c r="O95" s="944" t="s">
        <v>148</v>
      </c>
      <c r="P95" s="945"/>
      <c r="Q95" s="945"/>
      <c r="R95" s="945"/>
      <c r="S95" s="945"/>
      <c r="T95" s="945"/>
      <c r="U95" s="945"/>
      <c r="V95" s="945"/>
      <c r="W95" s="945"/>
      <c r="X95" s="156"/>
      <c r="Y95" s="131"/>
      <c r="Z95" s="131"/>
      <c r="AA95" s="134"/>
      <c r="AB95" s="396">
        <v>247</v>
      </c>
    </row>
    <row r="96" spans="1:34" ht="12.6" customHeight="1" x14ac:dyDescent="0.2">
      <c r="A96" s="95"/>
      <c r="B96" s="748" t="s">
        <v>483</v>
      </c>
      <c r="C96" s="772"/>
      <c r="D96" s="772"/>
      <c r="E96" s="773"/>
      <c r="F96" s="365">
        <f>2.631*X2</f>
        <v>2888.8379999999997</v>
      </c>
      <c r="G96" s="300">
        <f>+F96*$X$1</f>
        <v>2888.8379999999997</v>
      </c>
      <c r="H96" s="271"/>
      <c r="I96" s="271"/>
      <c r="J96" s="87">
        <f>F96+200</f>
        <v>3088.8379999999997</v>
      </c>
      <c r="K96" s="279">
        <f t="shared" ref="K96" si="181">+J96*$X$1</f>
        <v>3088.8379999999997</v>
      </c>
      <c r="L96" s="440">
        <f t="shared" ref="L96" si="182">F96+150</f>
        <v>3038.8379999999997</v>
      </c>
      <c r="M96" s="279">
        <f t="shared" si="180"/>
        <v>3038.8379999999997</v>
      </c>
      <c r="N96" s="440">
        <f t="shared" ref="N96" si="183">F96+110</f>
        <v>2998.8379999999997</v>
      </c>
      <c r="O96" s="279">
        <f t="shared" ref="O96" si="184">+N96*$X$1</f>
        <v>2998.8379999999997</v>
      </c>
      <c r="P96" s="440">
        <f t="shared" ref="P96" si="185">F96+100</f>
        <v>2988.8379999999997</v>
      </c>
      <c r="Q96" s="279">
        <f t="shared" ref="Q96" si="186">+P96*$X$1</f>
        <v>2988.8379999999997</v>
      </c>
      <c r="R96" s="440">
        <f t="shared" ref="R96" si="187">F96+80</f>
        <v>2968.8379999999997</v>
      </c>
      <c r="S96" s="279">
        <f t="shared" ref="S96" si="188">+R96*$X$1</f>
        <v>2968.8379999999997</v>
      </c>
      <c r="T96" s="440">
        <f t="shared" ref="T96" si="189">F96+65</f>
        <v>2953.8379999999997</v>
      </c>
      <c r="U96" s="279">
        <f t="shared" ref="U96" si="190">+T96*$X$1</f>
        <v>2953.8379999999997</v>
      </c>
      <c r="V96" s="440">
        <f t="shared" ref="V96" si="191">F96+56</f>
        <v>2944.8379999999997</v>
      </c>
      <c r="W96" s="279">
        <f t="shared" ref="W96" si="192">+V96*$X$1</f>
        <v>2944.8379999999997</v>
      </c>
      <c r="X96" s="156"/>
      <c r="Y96" s="131"/>
      <c r="Z96" s="131"/>
      <c r="AA96" s="134"/>
      <c r="AB96" s="396">
        <v>249</v>
      </c>
    </row>
    <row r="97" spans="1:29" ht="12.6" customHeight="1" x14ac:dyDescent="0.2">
      <c r="A97" s="101"/>
      <c r="B97" s="751" t="s">
        <v>378</v>
      </c>
      <c r="C97" s="752"/>
      <c r="D97" s="752"/>
      <c r="E97" s="752"/>
      <c r="F97" s="511">
        <v>120</v>
      </c>
      <c r="G97" s="516">
        <f t="shared" si="179"/>
        <v>120</v>
      </c>
      <c r="H97" s="517"/>
      <c r="I97" s="517"/>
      <c r="J97" s="513">
        <f>F97+260</f>
        <v>380</v>
      </c>
      <c r="K97" s="511">
        <f t="shared" ref="K97" si="193">+J97*$X$1</f>
        <v>380</v>
      </c>
      <c r="L97" s="604">
        <f>F97+200</f>
        <v>320</v>
      </c>
      <c r="M97" s="511">
        <f t="shared" si="180"/>
        <v>320</v>
      </c>
      <c r="N97" s="604">
        <f>F97+200</f>
        <v>320</v>
      </c>
      <c r="O97" s="511">
        <f t="shared" ref="O97" si="194">+N97*$X$1</f>
        <v>320</v>
      </c>
      <c r="P97" s="604">
        <f>F97+170</f>
        <v>290</v>
      </c>
      <c r="Q97" s="511">
        <f t="shared" ref="Q97" si="195">+P97*$X$1</f>
        <v>290</v>
      </c>
      <c r="R97" s="604">
        <f>F97+140</f>
        <v>260</v>
      </c>
      <c r="S97" s="511">
        <f t="shared" ref="S97" si="196">+R97*$X$1</f>
        <v>260</v>
      </c>
      <c r="T97" s="604">
        <f>F97+120</f>
        <v>240</v>
      </c>
      <c r="U97" s="511">
        <f t="shared" ref="U97" si="197">+T97*$X$1</f>
        <v>240</v>
      </c>
      <c r="V97" s="604">
        <f>F97+100</f>
        <v>220</v>
      </c>
      <c r="W97" s="511">
        <f t="shared" ref="W97" si="198">+V97*$X$1</f>
        <v>220</v>
      </c>
      <c r="X97" s="157"/>
      <c r="Y97" s="131"/>
      <c r="Z97" s="131"/>
      <c r="AA97" s="134"/>
      <c r="AB97" s="397">
        <v>251</v>
      </c>
    </row>
    <row r="98" spans="1:29" ht="12.6" customHeight="1" x14ac:dyDescent="0.2">
      <c r="A98" s="18"/>
      <c r="B98" s="672" t="s">
        <v>350</v>
      </c>
      <c r="C98" s="673"/>
      <c r="D98" s="673"/>
      <c r="E98" s="673"/>
      <c r="F98" s="279">
        <v>690</v>
      </c>
      <c r="G98" s="279">
        <f t="shared" si="179"/>
        <v>690</v>
      </c>
      <c r="H98" s="271"/>
      <c r="I98" s="271"/>
      <c r="J98" s="112">
        <f t="shared" ref="J98:J105" si="199">F98+200</f>
        <v>890</v>
      </c>
      <c r="K98" s="279">
        <f t="shared" ref="K98:K102" si="200">+J98*$X$1</f>
        <v>890</v>
      </c>
      <c r="L98" s="440"/>
      <c r="M98" s="440"/>
      <c r="N98" s="440">
        <f>F98+23</f>
        <v>713</v>
      </c>
      <c r="O98" s="440"/>
      <c r="P98" s="271"/>
      <c r="Q98" s="271"/>
      <c r="R98" s="440">
        <f>F98+15</f>
        <v>705</v>
      </c>
      <c r="S98" s="440"/>
      <c r="T98" s="440">
        <f>F98+12</f>
        <v>702</v>
      </c>
      <c r="U98" s="440"/>
      <c r="V98" s="440">
        <f>F98+10</f>
        <v>700</v>
      </c>
      <c r="W98" s="440"/>
      <c r="X98" s="157"/>
      <c r="Y98" s="131"/>
      <c r="Z98" s="131"/>
      <c r="AA98" s="134"/>
      <c r="AB98" s="397" t="s">
        <v>149</v>
      </c>
    </row>
    <row r="99" spans="1:29" ht="12.6" customHeight="1" x14ac:dyDescent="0.2">
      <c r="A99" s="18"/>
      <c r="B99" s="733" t="s">
        <v>473</v>
      </c>
      <c r="C99" s="948"/>
      <c r="D99" s="948"/>
      <c r="E99" s="949"/>
      <c r="F99" s="364">
        <f>12.04*X2</f>
        <v>13219.919999999998</v>
      </c>
      <c r="G99" s="278">
        <f t="shared" si="179"/>
        <v>13219.919999999998</v>
      </c>
      <c r="H99" s="607">
        <f>F99+600</f>
        <v>13819.919999999998</v>
      </c>
      <c r="I99" s="278">
        <f t="shared" ref="I99:I104" si="201">+H99*$X$1</f>
        <v>13819.919999999998</v>
      </c>
      <c r="J99" s="70">
        <f t="shared" si="199"/>
        <v>13419.919999999998</v>
      </c>
      <c r="K99" s="278">
        <f t="shared" si="200"/>
        <v>13419.919999999998</v>
      </c>
      <c r="L99" s="607">
        <f t="shared" ref="L99:L102" si="202">F99+150</f>
        <v>13369.919999999998</v>
      </c>
      <c r="M99" s="278">
        <f t="shared" ref="M99:M102" si="203">+L99*$X$1</f>
        <v>13369.919999999998</v>
      </c>
      <c r="N99" s="607">
        <f t="shared" ref="N99:N102" si="204">F99+110</f>
        <v>13329.919999999998</v>
      </c>
      <c r="O99" s="278">
        <f t="shared" ref="O99:O102" si="205">+N99*$X$1</f>
        <v>13329.919999999998</v>
      </c>
      <c r="P99" s="607">
        <f t="shared" ref="P99:P102" si="206">F99+100</f>
        <v>13319.919999999998</v>
      </c>
      <c r="Q99" s="278">
        <f t="shared" ref="Q99:Q102" si="207">+P99*$X$1</f>
        <v>13319.919999999998</v>
      </c>
      <c r="R99" s="607">
        <f t="shared" ref="R99:R102" si="208">F99+80</f>
        <v>13299.919999999998</v>
      </c>
      <c r="S99" s="278">
        <f t="shared" ref="S99:S102" si="209">+R99*$X$1</f>
        <v>13299.919999999998</v>
      </c>
      <c r="T99" s="607">
        <f t="shared" ref="T99:T102" si="210">F99+65</f>
        <v>13284.919999999998</v>
      </c>
      <c r="U99" s="278">
        <f t="shared" ref="U99:U102" si="211">+T99*$X$1</f>
        <v>13284.919999999998</v>
      </c>
      <c r="V99" s="607">
        <f t="shared" ref="V99:V102" si="212">F99+56</f>
        <v>13275.919999999998</v>
      </c>
      <c r="W99" s="278">
        <f t="shared" ref="W99:W102" si="213">+V99*$X$1</f>
        <v>13275.919999999998</v>
      </c>
      <c r="X99" s="158"/>
      <c r="Y99" s="131"/>
      <c r="Z99" s="131"/>
      <c r="AA99" s="134"/>
      <c r="AB99" s="397">
        <v>268</v>
      </c>
    </row>
    <row r="100" spans="1:29" ht="12.6" customHeight="1" x14ac:dyDescent="0.2">
      <c r="A100" s="18"/>
      <c r="B100" s="672" t="s">
        <v>640</v>
      </c>
      <c r="C100" s="673"/>
      <c r="D100" s="673"/>
      <c r="E100" s="673"/>
      <c r="F100" s="365">
        <f>4.49*X2</f>
        <v>4930.0200000000004</v>
      </c>
      <c r="G100" s="279">
        <f t="shared" si="179"/>
        <v>4930.0200000000004</v>
      </c>
      <c r="H100" s="607">
        <f t="shared" ref="H100:H102" si="214">F100+600</f>
        <v>5530.02</v>
      </c>
      <c r="I100" s="279">
        <f t="shared" si="201"/>
        <v>5530.02</v>
      </c>
      <c r="J100" s="87">
        <f t="shared" si="199"/>
        <v>5130.0200000000004</v>
      </c>
      <c r="K100" s="279">
        <f t="shared" si="200"/>
        <v>5130.0200000000004</v>
      </c>
      <c r="L100" s="440">
        <f t="shared" si="202"/>
        <v>5080.0200000000004</v>
      </c>
      <c r="M100" s="279">
        <f t="shared" si="203"/>
        <v>5080.0200000000004</v>
      </c>
      <c r="N100" s="440">
        <f t="shared" si="204"/>
        <v>5040.0200000000004</v>
      </c>
      <c r="O100" s="279">
        <f t="shared" si="205"/>
        <v>5040.0200000000004</v>
      </c>
      <c r="P100" s="440">
        <f t="shared" si="206"/>
        <v>5030.0200000000004</v>
      </c>
      <c r="Q100" s="279">
        <f t="shared" si="207"/>
        <v>5030.0200000000004</v>
      </c>
      <c r="R100" s="440">
        <f t="shared" si="208"/>
        <v>5010.0200000000004</v>
      </c>
      <c r="S100" s="279">
        <f t="shared" si="209"/>
        <v>5010.0200000000004</v>
      </c>
      <c r="T100" s="440">
        <f t="shared" si="210"/>
        <v>4995.0200000000004</v>
      </c>
      <c r="U100" s="279">
        <f t="shared" si="211"/>
        <v>4995.0200000000004</v>
      </c>
      <c r="V100" s="440">
        <f t="shared" si="212"/>
        <v>4986.0200000000004</v>
      </c>
      <c r="W100" s="279">
        <f t="shared" si="213"/>
        <v>4986.0200000000004</v>
      </c>
      <c r="X100" s="158"/>
      <c r="Y100" s="135"/>
      <c r="Z100" s="131"/>
      <c r="AA100" s="134"/>
      <c r="AB100" s="397">
        <v>270</v>
      </c>
      <c r="AC100" s="30"/>
    </row>
    <row r="101" spans="1:29" ht="12.6" customHeight="1" x14ac:dyDescent="0.2">
      <c r="A101" s="18"/>
      <c r="B101" s="690" t="s">
        <v>150</v>
      </c>
      <c r="C101" s="691"/>
      <c r="D101" s="691"/>
      <c r="E101" s="691"/>
      <c r="F101" s="364">
        <f>13.1*X2</f>
        <v>14383.8</v>
      </c>
      <c r="G101" s="278">
        <f t="shared" ref="G101:G102" si="215">+F101*$X$1</f>
        <v>14383.8</v>
      </c>
      <c r="H101" s="607">
        <f t="shared" si="214"/>
        <v>14983.8</v>
      </c>
      <c r="I101" s="278">
        <f t="shared" si="201"/>
        <v>14983.8</v>
      </c>
      <c r="J101" s="70">
        <f t="shared" si="199"/>
        <v>14583.8</v>
      </c>
      <c r="K101" s="278">
        <f t="shared" si="200"/>
        <v>14583.8</v>
      </c>
      <c r="L101" s="607">
        <f t="shared" si="202"/>
        <v>14533.8</v>
      </c>
      <c r="M101" s="278">
        <f t="shared" si="203"/>
        <v>14533.8</v>
      </c>
      <c r="N101" s="607">
        <f t="shared" si="204"/>
        <v>14493.8</v>
      </c>
      <c r="O101" s="278">
        <f t="shared" si="205"/>
        <v>14493.8</v>
      </c>
      <c r="P101" s="607">
        <f t="shared" si="206"/>
        <v>14483.8</v>
      </c>
      <c r="Q101" s="278">
        <f t="shared" si="207"/>
        <v>14483.8</v>
      </c>
      <c r="R101" s="607">
        <f t="shared" si="208"/>
        <v>14463.8</v>
      </c>
      <c r="S101" s="278">
        <f t="shared" si="209"/>
        <v>14463.8</v>
      </c>
      <c r="T101" s="607">
        <f t="shared" si="210"/>
        <v>14448.8</v>
      </c>
      <c r="U101" s="278">
        <f t="shared" si="211"/>
        <v>14448.8</v>
      </c>
      <c r="V101" s="607">
        <f t="shared" si="212"/>
        <v>14439.8</v>
      </c>
      <c r="W101" s="278">
        <f t="shared" si="213"/>
        <v>14439.8</v>
      </c>
      <c r="X101" s="157"/>
      <c r="Y101" s="131"/>
      <c r="Z101" s="131"/>
      <c r="AA101" s="134"/>
      <c r="AB101" s="397">
        <v>273</v>
      </c>
      <c r="AC101" s="30"/>
    </row>
    <row r="102" spans="1:29" ht="12.6" customHeight="1" x14ac:dyDescent="0.2">
      <c r="A102" s="18"/>
      <c r="B102" s="672" t="s">
        <v>151</v>
      </c>
      <c r="C102" s="673"/>
      <c r="D102" s="673"/>
      <c r="E102" s="673"/>
      <c r="F102" s="365">
        <f>8.7*X2</f>
        <v>9552.5999999999985</v>
      </c>
      <c r="G102" s="279">
        <f t="shared" si="215"/>
        <v>9552.5999999999985</v>
      </c>
      <c r="H102" s="607">
        <f t="shared" si="214"/>
        <v>10152.599999999999</v>
      </c>
      <c r="I102" s="279">
        <f t="shared" si="201"/>
        <v>10152.599999999999</v>
      </c>
      <c r="J102" s="87">
        <f t="shared" si="199"/>
        <v>9752.5999999999985</v>
      </c>
      <c r="K102" s="279">
        <f t="shared" si="200"/>
        <v>9752.5999999999985</v>
      </c>
      <c r="L102" s="440">
        <f t="shared" si="202"/>
        <v>9702.5999999999985</v>
      </c>
      <c r="M102" s="279">
        <f t="shared" si="203"/>
        <v>9702.5999999999985</v>
      </c>
      <c r="N102" s="440">
        <f t="shared" si="204"/>
        <v>9662.5999999999985</v>
      </c>
      <c r="O102" s="279">
        <f t="shared" si="205"/>
        <v>9662.5999999999985</v>
      </c>
      <c r="P102" s="440">
        <f t="shared" si="206"/>
        <v>9652.5999999999985</v>
      </c>
      <c r="Q102" s="279">
        <f t="shared" si="207"/>
        <v>9652.5999999999985</v>
      </c>
      <c r="R102" s="440">
        <f t="shared" si="208"/>
        <v>9632.5999999999985</v>
      </c>
      <c r="S102" s="279">
        <f t="shared" si="209"/>
        <v>9632.5999999999985</v>
      </c>
      <c r="T102" s="440">
        <f t="shared" si="210"/>
        <v>9617.5999999999985</v>
      </c>
      <c r="U102" s="279">
        <f t="shared" si="211"/>
        <v>9617.5999999999985</v>
      </c>
      <c r="V102" s="440">
        <f t="shared" si="212"/>
        <v>9608.5999999999985</v>
      </c>
      <c r="W102" s="279">
        <f t="shared" si="213"/>
        <v>9608.5999999999985</v>
      </c>
      <c r="X102" s="158"/>
      <c r="Y102" s="135"/>
      <c r="Z102" s="131"/>
      <c r="AA102" s="134"/>
      <c r="AB102" s="397">
        <v>278</v>
      </c>
      <c r="AC102" s="30"/>
    </row>
    <row r="103" spans="1:29" ht="12.6" customHeight="1" x14ac:dyDescent="0.2">
      <c r="A103" s="18"/>
      <c r="B103" s="655" t="s">
        <v>948</v>
      </c>
      <c r="C103" s="656"/>
      <c r="D103" s="656"/>
      <c r="E103" s="656"/>
      <c r="F103" s="364">
        <f>1.55*X2</f>
        <v>1701.9</v>
      </c>
      <c r="G103" s="278">
        <f>+F103*$X$1</f>
        <v>1701.9</v>
      </c>
      <c r="H103" s="70"/>
      <c r="I103" s="278"/>
      <c r="J103" s="70">
        <f t="shared" si="199"/>
        <v>1901.9</v>
      </c>
      <c r="K103" s="278">
        <f t="shared" ref="K103:K105" si="216">+J103*$X$1</f>
        <v>1901.9</v>
      </c>
      <c r="L103" s="607">
        <f t="shared" ref="L103:L105" si="217">F103+150</f>
        <v>1851.9</v>
      </c>
      <c r="M103" s="278">
        <f t="shared" ref="M103:M105" si="218">+L103*$X$1</f>
        <v>1851.9</v>
      </c>
      <c r="N103" s="607">
        <f t="shared" ref="N103:N105" si="219">F103+110</f>
        <v>1811.9</v>
      </c>
      <c r="O103" s="278">
        <f t="shared" ref="O103:O105" si="220">+N103*$X$1</f>
        <v>1811.9</v>
      </c>
      <c r="P103" s="607">
        <f t="shared" ref="P103:P105" si="221">F103+100</f>
        <v>1801.9</v>
      </c>
      <c r="Q103" s="278">
        <f t="shared" ref="Q103:Q105" si="222">+P103*$X$1</f>
        <v>1801.9</v>
      </c>
      <c r="R103" s="607">
        <f t="shared" ref="R103:R105" si="223">F103+80</f>
        <v>1781.9</v>
      </c>
      <c r="S103" s="278">
        <f t="shared" ref="S103:S105" si="224">+R103*$X$1</f>
        <v>1781.9</v>
      </c>
      <c r="T103" s="607">
        <f t="shared" ref="T103:T105" si="225">F103+65</f>
        <v>1766.9</v>
      </c>
      <c r="U103" s="278">
        <f t="shared" ref="U103:U105" si="226">+T103*$X$1</f>
        <v>1766.9</v>
      </c>
      <c r="V103" s="607">
        <f t="shared" ref="V103:V105" si="227">F103+56</f>
        <v>1757.9</v>
      </c>
      <c r="W103" s="278">
        <f t="shared" ref="W103:W105" si="228">+V103*$X$1</f>
        <v>1757.9</v>
      </c>
      <c r="X103" s="155"/>
      <c r="Y103" s="135"/>
      <c r="Z103" s="131"/>
      <c r="AA103" s="134"/>
      <c r="AB103" s="397">
        <v>285</v>
      </c>
      <c r="AC103" s="30"/>
    </row>
    <row r="104" spans="1:29" ht="12.6" customHeight="1" x14ac:dyDescent="0.2">
      <c r="A104" s="18"/>
      <c r="B104" s="766" t="s">
        <v>152</v>
      </c>
      <c r="C104" s="947"/>
      <c r="D104" s="947"/>
      <c r="E104" s="947"/>
      <c r="F104" s="365">
        <f>2.03*X2</f>
        <v>2228.9399999999996</v>
      </c>
      <c r="G104" s="279">
        <f>+F104*$X$1</f>
        <v>2228.9399999999996</v>
      </c>
      <c r="H104" s="440">
        <f>F104+600</f>
        <v>2828.9399999999996</v>
      </c>
      <c r="I104" s="279">
        <f t="shared" si="201"/>
        <v>2828.9399999999996</v>
      </c>
      <c r="J104" s="87">
        <f t="shared" si="199"/>
        <v>2428.9399999999996</v>
      </c>
      <c r="K104" s="279">
        <f t="shared" si="216"/>
        <v>2428.9399999999996</v>
      </c>
      <c r="L104" s="440">
        <f t="shared" si="217"/>
        <v>2378.9399999999996</v>
      </c>
      <c r="M104" s="279">
        <f t="shared" si="218"/>
        <v>2378.9399999999996</v>
      </c>
      <c r="N104" s="440">
        <f t="shared" si="219"/>
        <v>2338.9399999999996</v>
      </c>
      <c r="O104" s="279">
        <f t="shared" si="220"/>
        <v>2338.9399999999996</v>
      </c>
      <c r="P104" s="440">
        <f t="shared" si="221"/>
        <v>2328.9399999999996</v>
      </c>
      <c r="Q104" s="279">
        <f t="shared" si="222"/>
        <v>2328.9399999999996</v>
      </c>
      <c r="R104" s="440">
        <f t="shared" si="223"/>
        <v>2308.9399999999996</v>
      </c>
      <c r="S104" s="279">
        <f t="shared" si="224"/>
        <v>2308.9399999999996</v>
      </c>
      <c r="T104" s="440">
        <f t="shared" si="225"/>
        <v>2293.9399999999996</v>
      </c>
      <c r="U104" s="279">
        <f t="shared" si="226"/>
        <v>2293.9399999999996</v>
      </c>
      <c r="V104" s="440">
        <f t="shared" si="227"/>
        <v>2284.9399999999996</v>
      </c>
      <c r="W104" s="279">
        <f t="shared" si="228"/>
        <v>2284.9399999999996</v>
      </c>
      <c r="X104" s="155"/>
      <c r="Y104" s="135"/>
      <c r="Z104" s="131"/>
      <c r="AA104" s="134"/>
      <c r="AB104" s="397">
        <v>288</v>
      </c>
      <c r="AC104" s="30"/>
    </row>
    <row r="105" spans="1:29" ht="12.6" customHeight="1" x14ac:dyDescent="0.2">
      <c r="A105" s="18"/>
      <c r="B105" s="690" t="s">
        <v>153</v>
      </c>
      <c r="C105" s="691"/>
      <c r="D105" s="691"/>
      <c r="E105" s="691"/>
      <c r="F105" s="278">
        <v>426</v>
      </c>
      <c r="G105" s="278">
        <f>+F105*$X$1</f>
        <v>426</v>
      </c>
      <c r="H105" s="70"/>
      <c r="I105" s="278"/>
      <c r="J105" s="70">
        <f t="shared" si="199"/>
        <v>626</v>
      </c>
      <c r="K105" s="278">
        <f t="shared" si="216"/>
        <v>626</v>
      </c>
      <c r="L105" s="607">
        <f t="shared" si="217"/>
        <v>576</v>
      </c>
      <c r="M105" s="278">
        <f t="shared" si="218"/>
        <v>576</v>
      </c>
      <c r="N105" s="607">
        <f t="shared" si="219"/>
        <v>536</v>
      </c>
      <c r="O105" s="278">
        <f t="shared" si="220"/>
        <v>536</v>
      </c>
      <c r="P105" s="607">
        <f t="shared" si="221"/>
        <v>526</v>
      </c>
      <c r="Q105" s="278">
        <f t="shared" si="222"/>
        <v>526</v>
      </c>
      <c r="R105" s="607">
        <f t="shared" si="223"/>
        <v>506</v>
      </c>
      <c r="S105" s="278">
        <f t="shared" si="224"/>
        <v>506</v>
      </c>
      <c r="T105" s="607">
        <f t="shared" si="225"/>
        <v>491</v>
      </c>
      <c r="U105" s="278">
        <f t="shared" si="226"/>
        <v>491</v>
      </c>
      <c r="V105" s="607">
        <f t="shared" si="227"/>
        <v>482</v>
      </c>
      <c r="W105" s="278">
        <f t="shared" si="228"/>
        <v>482</v>
      </c>
      <c r="X105" s="155"/>
      <c r="Y105" s="135"/>
      <c r="Z105" s="131"/>
      <c r="AA105" s="134"/>
      <c r="AB105" s="397">
        <v>289</v>
      </c>
      <c r="AC105" s="30"/>
    </row>
    <row r="106" spans="1:29" ht="12.6" customHeight="1" x14ac:dyDescent="0.2">
      <c r="A106" s="18"/>
      <c r="B106" s="672" t="s">
        <v>154</v>
      </c>
      <c r="C106" s="673"/>
      <c r="D106" s="673"/>
      <c r="E106" s="673"/>
      <c r="F106" s="279"/>
      <c r="G106" s="645" t="s">
        <v>969</v>
      </c>
      <c r="H106" s="646"/>
      <c r="I106" s="646"/>
      <c r="J106" s="646"/>
      <c r="K106" s="646"/>
      <c r="L106" s="646"/>
      <c r="M106" s="646"/>
      <c r="N106" s="611">
        <v>750</v>
      </c>
      <c r="O106" s="279">
        <f t="shared" ref="O106:Q109" si="229">+N106*$X$1</f>
        <v>750</v>
      </c>
      <c r="P106" s="273">
        <v>724</v>
      </c>
      <c r="Q106" s="279">
        <f t="shared" si="229"/>
        <v>724</v>
      </c>
      <c r="R106" s="110">
        <v>664</v>
      </c>
      <c r="S106" s="294">
        <f t="shared" ref="S106:S109" si="230">+R106*$X$1</f>
        <v>664</v>
      </c>
      <c r="T106" s="99">
        <v>625</v>
      </c>
      <c r="U106" s="294">
        <f t="shared" ref="U106:U109" si="231">+T106*$X$1</f>
        <v>625</v>
      </c>
      <c r="V106" s="99">
        <v>534</v>
      </c>
      <c r="W106" s="294">
        <f t="shared" ref="W106:W109" si="232">+V106*$X$1</f>
        <v>534</v>
      </c>
      <c r="X106" s="648"/>
      <c r="Y106" s="649"/>
      <c r="Z106" s="649"/>
      <c r="AA106" s="650"/>
      <c r="AB106" s="397">
        <v>290</v>
      </c>
    </row>
    <row r="107" spans="1:29" ht="12.6" customHeight="1" x14ac:dyDescent="0.2">
      <c r="A107" s="18"/>
      <c r="B107" s="690" t="s">
        <v>390</v>
      </c>
      <c r="C107" s="691"/>
      <c r="D107" s="691"/>
      <c r="E107" s="691"/>
      <c r="F107" s="278"/>
      <c r="G107" s="645" t="s">
        <v>566</v>
      </c>
      <c r="H107" s="646"/>
      <c r="I107" s="646"/>
      <c r="J107" s="646"/>
      <c r="K107" s="646"/>
      <c r="L107" s="646"/>
      <c r="M107" s="647"/>
      <c r="N107" s="606">
        <v>910</v>
      </c>
      <c r="O107" s="278">
        <f t="shared" si="229"/>
        <v>910</v>
      </c>
      <c r="P107" s="274">
        <v>875</v>
      </c>
      <c r="Q107" s="278">
        <f t="shared" si="229"/>
        <v>875</v>
      </c>
      <c r="R107" s="384">
        <v>805</v>
      </c>
      <c r="S107" s="251">
        <f t="shared" si="230"/>
        <v>805</v>
      </c>
      <c r="T107" s="607">
        <v>757</v>
      </c>
      <c r="U107" s="251">
        <f t="shared" si="231"/>
        <v>757</v>
      </c>
      <c r="V107" s="607">
        <v>647</v>
      </c>
      <c r="W107" s="251">
        <f t="shared" si="232"/>
        <v>647</v>
      </c>
      <c r="X107" s="648"/>
      <c r="Y107" s="649"/>
      <c r="Z107" s="649"/>
      <c r="AA107" s="650"/>
      <c r="AB107" s="397" t="s">
        <v>155</v>
      </c>
    </row>
    <row r="108" spans="1:29" ht="12.6" customHeight="1" x14ac:dyDescent="0.2">
      <c r="A108" s="18"/>
      <c r="B108" s="672" t="s">
        <v>391</v>
      </c>
      <c r="C108" s="673"/>
      <c r="D108" s="673"/>
      <c r="E108" s="673"/>
      <c r="F108" s="279"/>
      <c r="G108" s="645" t="s">
        <v>565</v>
      </c>
      <c r="H108" s="646"/>
      <c r="I108" s="646"/>
      <c r="J108" s="646"/>
      <c r="K108" s="646"/>
      <c r="L108" s="646"/>
      <c r="M108" s="647"/>
      <c r="N108" s="273">
        <v>930</v>
      </c>
      <c r="O108" s="279">
        <f t="shared" ref="O108:O109" si="233">+N108*$X$1</f>
        <v>930</v>
      </c>
      <c r="P108" s="273">
        <v>903</v>
      </c>
      <c r="Q108" s="279">
        <f t="shared" si="229"/>
        <v>903</v>
      </c>
      <c r="R108" s="608">
        <v>831</v>
      </c>
      <c r="S108" s="294">
        <f t="shared" si="230"/>
        <v>831</v>
      </c>
      <c r="T108" s="440">
        <v>782</v>
      </c>
      <c r="U108" s="294">
        <f t="shared" si="231"/>
        <v>782</v>
      </c>
      <c r="V108" s="440">
        <v>667</v>
      </c>
      <c r="W108" s="294">
        <f t="shared" si="232"/>
        <v>667</v>
      </c>
      <c r="X108" s="648"/>
      <c r="Y108" s="649"/>
      <c r="Z108" s="649"/>
      <c r="AA108" s="650"/>
      <c r="AB108" s="397">
        <v>291</v>
      </c>
    </row>
    <row r="109" spans="1:29" ht="12.6" customHeight="1" x14ac:dyDescent="0.2">
      <c r="A109" s="18"/>
      <c r="B109" s="690" t="s">
        <v>392</v>
      </c>
      <c r="C109" s="691"/>
      <c r="D109" s="691"/>
      <c r="E109" s="691"/>
      <c r="F109" s="278"/>
      <c r="G109" s="645" t="s">
        <v>566</v>
      </c>
      <c r="H109" s="646"/>
      <c r="I109" s="646"/>
      <c r="J109" s="646"/>
      <c r="K109" s="646"/>
      <c r="L109" s="646"/>
      <c r="M109" s="647"/>
      <c r="N109" s="274">
        <v>1160</v>
      </c>
      <c r="O109" s="278">
        <f t="shared" si="233"/>
        <v>1160</v>
      </c>
      <c r="P109" s="274">
        <v>1130</v>
      </c>
      <c r="Q109" s="278">
        <f t="shared" si="229"/>
        <v>1130</v>
      </c>
      <c r="R109" s="384">
        <v>1042</v>
      </c>
      <c r="S109" s="251">
        <f t="shared" si="230"/>
        <v>1042</v>
      </c>
      <c r="T109" s="607">
        <v>981</v>
      </c>
      <c r="U109" s="251">
        <f t="shared" si="231"/>
        <v>981</v>
      </c>
      <c r="V109" s="607">
        <v>837</v>
      </c>
      <c r="W109" s="251">
        <f t="shared" si="232"/>
        <v>837</v>
      </c>
      <c r="X109" s="648"/>
      <c r="Y109" s="649"/>
      <c r="Z109" s="649"/>
      <c r="AA109" s="650"/>
      <c r="AB109" s="397" t="s">
        <v>156</v>
      </c>
    </row>
    <row r="110" spans="1:29" ht="12.6" customHeight="1" x14ac:dyDescent="0.2">
      <c r="A110" s="18"/>
      <c r="B110" s="655" t="s">
        <v>970</v>
      </c>
      <c r="C110" s="656"/>
      <c r="D110" s="656"/>
      <c r="E110" s="656"/>
      <c r="F110" s="279"/>
      <c r="G110" s="645" t="s">
        <v>565</v>
      </c>
      <c r="H110" s="646"/>
      <c r="I110" s="646"/>
      <c r="J110" s="646"/>
      <c r="K110" s="646"/>
      <c r="L110" s="646"/>
      <c r="M110" s="647"/>
      <c r="N110" s="273">
        <v>590</v>
      </c>
      <c r="O110" s="279">
        <f t="shared" ref="O110" si="234">+N110*$X$1</f>
        <v>590</v>
      </c>
      <c r="P110" s="273">
        <v>550</v>
      </c>
      <c r="Q110" s="279">
        <f t="shared" ref="Q110" si="235">+P110*$X$1</f>
        <v>550</v>
      </c>
      <c r="R110" s="608">
        <v>498</v>
      </c>
      <c r="S110" s="294">
        <f t="shared" ref="S110" si="236">+R110*$X$1</f>
        <v>498</v>
      </c>
      <c r="T110" s="440">
        <v>468</v>
      </c>
      <c r="U110" s="294">
        <f t="shared" ref="U110" si="237">+T110*$X$1</f>
        <v>468</v>
      </c>
      <c r="V110" s="440">
        <v>399</v>
      </c>
      <c r="W110" s="294">
        <f t="shared" ref="W110" si="238">+V110*$X$1</f>
        <v>399</v>
      </c>
      <c r="X110" s="648"/>
      <c r="Y110" s="649"/>
      <c r="Z110" s="649"/>
      <c r="AA110" s="650"/>
      <c r="AB110" s="397"/>
    </row>
    <row r="111" spans="1:29" ht="12.6" customHeight="1" x14ac:dyDescent="0.2">
      <c r="A111" s="18"/>
      <c r="B111" s="655" t="s">
        <v>971</v>
      </c>
      <c r="C111" s="656"/>
      <c r="D111" s="656"/>
      <c r="E111" s="656"/>
      <c r="F111" s="279"/>
      <c r="G111" s="645" t="s">
        <v>566</v>
      </c>
      <c r="H111" s="646"/>
      <c r="I111" s="646"/>
      <c r="J111" s="646"/>
      <c r="K111" s="646"/>
      <c r="L111" s="646"/>
      <c r="M111" s="647"/>
      <c r="N111" s="309">
        <v>670</v>
      </c>
      <c r="O111" s="278">
        <f t="shared" ref="O111:O112" si="239">+N111*$X$1</f>
        <v>670</v>
      </c>
      <c r="P111" s="309">
        <v>620</v>
      </c>
      <c r="Q111" s="278">
        <f t="shared" ref="Q111:Q112" si="240">+P111*$X$1</f>
        <v>620</v>
      </c>
      <c r="R111" s="612">
        <v>570</v>
      </c>
      <c r="S111" s="251">
        <f t="shared" ref="S111:S112" si="241">+R111*$X$1</f>
        <v>570</v>
      </c>
      <c r="T111" s="607">
        <v>535</v>
      </c>
      <c r="U111" s="251">
        <f t="shared" ref="U111:U112" si="242">+T111*$X$1</f>
        <v>535</v>
      </c>
      <c r="V111" s="607">
        <v>455</v>
      </c>
      <c r="W111" s="251">
        <f t="shared" ref="W111:W112" si="243">+V111*$X$1</f>
        <v>455</v>
      </c>
      <c r="X111" s="648"/>
      <c r="Y111" s="649"/>
      <c r="Z111" s="649"/>
      <c r="AA111" s="650"/>
      <c r="AB111" s="397"/>
    </row>
    <row r="112" spans="1:29" ht="12.6" customHeight="1" x14ac:dyDescent="0.2">
      <c r="A112" s="18"/>
      <c r="B112" s="655" t="s">
        <v>972</v>
      </c>
      <c r="C112" s="656"/>
      <c r="D112" s="656"/>
      <c r="E112" s="656"/>
      <c r="F112" s="279"/>
      <c r="G112" s="645" t="s">
        <v>565</v>
      </c>
      <c r="H112" s="646"/>
      <c r="I112" s="646"/>
      <c r="J112" s="646"/>
      <c r="K112" s="646"/>
      <c r="L112" s="646"/>
      <c r="M112" s="647"/>
      <c r="N112" s="273">
        <v>1150</v>
      </c>
      <c r="O112" s="279">
        <f t="shared" si="239"/>
        <v>1150</v>
      </c>
      <c r="P112" s="273">
        <v>1110</v>
      </c>
      <c r="Q112" s="279">
        <f t="shared" si="240"/>
        <v>1110</v>
      </c>
      <c r="R112" s="608">
        <v>1010</v>
      </c>
      <c r="S112" s="294">
        <f t="shared" si="241"/>
        <v>1010</v>
      </c>
      <c r="T112" s="440">
        <v>950</v>
      </c>
      <c r="U112" s="294">
        <f t="shared" si="242"/>
        <v>950</v>
      </c>
      <c r="V112" s="440">
        <v>810</v>
      </c>
      <c r="W112" s="294">
        <f t="shared" si="243"/>
        <v>810</v>
      </c>
      <c r="X112" s="648"/>
      <c r="Y112" s="649"/>
      <c r="Z112" s="649"/>
      <c r="AA112" s="650"/>
      <c r="AB112" s="397"/>
    </row>
    <row r="113" spans="1:28" ht="12.6" customHeight="1" x14ac:dyDescent="0.2">
      <c r="A113" s="18"/>
      <c r="B113" s="655" t="s">
        <v>973</v>
      </c>
      <c r="C113" s="656"/>
      <c r="D113" s="656"/>
      <c r="E113" s="656"/>
      <c r="F113" s="279"/>
      <c r="G113" s="645" t="s">
        <v>566</v>
      </c>
      <c r="H113" s="646"/>
      <c r="I113" s="646"/>
      <c r="J113" s="646"/>
      <c r="K113" s="646"/>
      <c r="L113" s="646"/>
      <c r="M113" s="647"/>
      <c r="N113" s="309">
        <v>1260</v>
      </c>
      <c r="O113" s="278">
        <f t="shared" ref="O113" si="244">+N113*$X$1</f>
        <v>1260</v>
      </c>
      <c r="P113" s="309">
        <v>1200</v>
      </c>
      <c r="Q113" s="278">
        <f t="shared" ref="Q113" si="245">+P113*$X$1</f>
        <v>1200</v>
      </c>
      <c r="R113" s="612">
        <v>1080</v>
      </c>
      <c r="S113" s="251">
        <f t="shared" ref="S113" si="246">+R113*$X$1</f>
        <v>1080</v>
      </c>
      <c r="T113" s="607">
        <v>1015</v>
      </c>
      <c r="U113" s="251">
        <f t="shared" ref="U113" si="247">+T113*$X$1</f>
        <v>1015</v>
      </c>
      <c r="V113" s="607">
        <v>866</v>
      </c>
      <c r="W113" s="251">
        <f t="shared" ref="W113" si="248">+V113*$X$1</f>
        <v>866</v>
      </c>
      <c r="X113" s="648"/>
      <c r="Y113" s="649"/>
      <c r="Z113" s="649"/>
      <c r="AA113" s="650"/>
      <c r="AB113" s="397"/>
    </row>
    <row r="114" spans="1:28" ht="12.6" customHeight="1" x14ac:dyDescent="0.2">
      <c r="A114" s="18"/>
      <c r="B114" s="659" t="s">
        <v>341</v>
      </c>
      <c r="C114" s="660"/>
      <c r="D114" s="660"/>
      <c r="E114" s="660"/>
      <c r="F114" s="308"/>
      <c r="G114" s="308"/>
      <c r="H114" s="91"/>
      <c r="I114" s="714" t="s">
        <v>342</v>
      </c>
      <c r="J114" s="715"/>
      <c r="K114" s="715"/>
      <c r="L114" s="715"/>
      <c r="M114" s="715"/>
      <c r="N114" s="715"/>
      <c r="O114" s="715"/>
      <c r="P114" s="715"/>
      <c r="Q114" s="715"/>
      <c r="R114" s="715"/>
      <c r="S114" s="715"/>
      <c r="T114" s="715"/>
      <c r="U114" s="715"/>
      <c r="V114" s="715"/>
      <c r="W114" s="941"/>
      <c r="X114" s="671"/>
      <c r="Y114" s="652"/>
      <c r="Z114" s="652"/>
      <c r="AA114" s="653"/>
      <c r="AB114" s="397"/>
    </row>
    <row r="115" spans="1:28" ht="12.6" customHeight="1" x14ac:dyDescent="0.2">
      <c r="A115" s="18"/>
      <c r="B115" s="695" t="s">
        <v>343</v>
      </c>
      <c r="C115" s="805"/>
      <c r="D115" s="805"/>
      <c r="E115" s="805"/>
      <c r="F115" s="295"/>
      <c r="G115" s="338"/>
      <c r="H115" s="115"/>
      <c r="I115" s="718"/>
      <c r="J115" s="719"/>
      <c r="K115" s="719"/>
      <c r="L115" s="724"/>
      <c r="M115" s="724"/>
      <c r="N115" s="724"/>
      <c r="O115" s="719"/>
      <c r="P115" s="719"/>
      <c r="Q115" s="719"/>
      <c r="R115" s="719"/>
      <c r="S115" s="719"/>
      <c r="T115" s="724"/>
      <c r="U115" s="724"/>
      <c r="V115" s="724"/>
      <c r="W115" s="942"/>
      <c r="X115" s="671"/>
      <c r="Y115" s="652"/>
      <c r="Z115" s="652"/>
      <c r="AA115" s="653"/>
      <c r="AB115" s="397"/>
    </row>
    <row r="116" spans="1:28" ht="12.6" customHeight="1" x14ac:dyDescent="0.2">
      <c r="A116" s="18"/>
      <c r="B116" s="672" t="s">
        <v>754</v>
      </c>
      <c r="C116" s="673"/>
      <c r="D116" s="673"/>
      <c r="E116" s="673"/>
      <c r="F116" s="340"/>
      <c r="G116" s="645" t="s">
        <v>389</v>
      </c>
      <c r="H116" s="646"/>
      <c r="I116" s="646"/>
      <c r="J116" s="646"/>
      <c r="K116" s="647"/>
      <c r="L116" s="611">
        <v>2140</v>
      </c>
      <c r="M116" s="279">
        <f t="shared" ref="M116:O129" si="249">+L116*$X$1</f>
        <v>2140</v>
      </c>
      <c r="N116" s="121">
        <v>1896</v>
      </c>
      <c r="O116" s="279">
        <f t="shared" si="249"/>
        <v>1896</v>
      </c>
      <c r="P116" s="372">
        <v>1891</v>
      </c>
      <c r="Q116" s="279">
        <f t="shared" ref="Q116:Q128" si="250">+P116*$X$1</f>
        <v>1891</v>
      </c>
      <c r="R116" s="440">
        <v>1741</v>
      </c>
      <c r="S116" s="279">
        <f t="shared" ref="S116:S129" si="251">+R116*$X$1</f>
        <v>1741</v>
      </c>
      <c r="T116" s="440">
        <v>1639</v>
      </c>
      <c r="U116" s="308">
        <f t="shared" ref="U116:U127" si="252">+T116*$X$1</f>
        <v>1639</v>
      </c>
      <c r="V116" s="440">
        <v>857</v>
      </c>
      <c r="W116" s="308">
        <f t="shared" ref="W116:W127" si="253">+V116*$X$1</f>
        <v>857</v>
      </c>
      <c r="X116" s="648"/>
      <c r="Y116" s="649"/>
      <c r="Z116" s="649"/>
      <c r="AA116" s="650"/>
      <c r="AB116" s="397">
        <v>301</v>
      </c>
    </row>
    <row r="117" spans="1:28" ht="12.6" customHeight="1" x14ac:dyDescent="0.2">
      <c r="A117" s="18"/>
      <c r="B117" s="690" t="s">
        <v>755</v>
      </c>
      <c r="C117" s="691"/>
      <c r="D117" s="691"/>
      <c r="E117" s="691"/>
      <c r="F117" s="341"/>
      <c r="G117" s="645" t="s">
        <v>389</v>
      </c>
      <c r="H117" s="646"/>
      <c r="I117" s="646"/>
      <c r="J117" s="646"/>
      <c r="K117" s="647"/>
      <c r="L117" s="292">
        <v>2350</v>
      </c>
      <c r="M117" s="571">
        <f t="shared" si="249"/>
        <v>2350</v>
      </c>
      <c r="N117" s="384">
        <v>2053</v>
      </c>
      <c r="O117" s="571">
        <f t="shared" si="249"/>
        <v>2053</v>
      </c>
      <c r="P117" s="293">
        <v>2045</v>
      </c>
      <c r="Q117" s="278">
        <f t="shared" si="250"/>
        <v>2045</v>
      </c>
      <c r="R117" s="115">
        <v>1882</v>
      </c>
      <c r="S117" s="571">
        <f t="shared" si="251"/>
        <v>1882</v>
      </c>
      <c r="T117" s="607">
        <v>1771</v>
      </c>
      <c r="U117" s="295">
        <f t="shared" si="252"/>
        <v>1771</v>
      </c>
      <c r="V117" s="607">
        <v>1004</v>
      </c>
      <c r="W117" s="295">
        <f t="shared" si="253"/>
        <v>1004</v>
      </c>
      <c r="X117" s="648"/>
      <c r="Y117" s="649"/>
      <c r="Z117" s="649"/>
      <c r="AA117" s="650"/>
      <c r="AB117" s="397" t="s">
        <v>157</v>
      </c>
    </row>
    <row r="118" spans="1:28" ht="12.6" customHeight="1" x14ac:dyDescent="0.2">
      <c r="A118" s="18"/>
      <c r="B118" s="672" t="s">
        <v>756</v>
      </c>
      <c r="C118" s="673"/>
      <c r="D118" s="673"/>
      <c r="E118" s="673"/>
      <c r="F118" s="340"/>
      <c r="G118" s="645" t="s">
        <v>389</v>
      </c>
      <c r="H118" s="646"/>
      <c r="I118" s="646"/>
      <c r="J118" s="646"/>
      <c r="K118" s="647"/>
      <c r="L118" s="611">
        <v>3720</v>
      </c>
      <c r="M118" s="279">
        <f t="shared" ref="M118" si="254">+L118*$X$1</f>
        <v>3720</v>
      </c>
      <c r="N118" s="121">
        <v>3271</v>
      </c>
      <c r="O118" s="279">
        <f t="shared" ref="O118" si="255">+N118*$X$1</f>
        <v>3271</v>
      </c>
      <c r="P118" s="372">
        <v>3265</v>
      </c>
      <c r="Q118" s="279">
        <f t="shared" ref="Q118" si="256">+P118*$X$1</f>
        <v>3265</v>
      </c>
      <c r="R118" s="440">
        <v>3005</v>
      </c>
      <c r="S118" s="279">
        <f t="shared" ref="S118" si="257">+R118*$X$1</f>
        <v>3005</v>
      </c>
      <c r="T118" s="440">
        <v>2829</v>
      </c>
      <c r="U118" s="308">
        <f t="shared" ref="U118" si="258">+T118*$X$1</f>
        <v>2829</v>
      </c>
      <c r="V118" s="440">
        <v>1927</v>
      </c>
      <c r="W118" s="308">
        <f t="shared" ref="W118" si="259">+V118*$X$1</f>
        <v>1927</v>
      </c>
      <c r="X118" s="648"/>
      <c r="Y118" s="649"/>
      <c r="Z118" s="649"/>
      <c r="AA118" s="650"/>
      <c r="AB118" s="397" t="s">
        <v>158</v>
      </c>
    </row>
    <row r="119" spans="1:28" ht="12.6" customHeight="1" x14ac:dyDescent="0.2">
      <c r="A119" s="18"/>
      <c r="B119" s="690" t="s">
        <v>778</v>
      </c>
      <c r="C119" s="943"/>
      <c r="D119" s="943"/>
      <c r="E119" s="943"/>
      <c r="F119" s="341"/>
      <c r="G119" s="645" t="s">
        <v>389</v>
      </c>
      <c r="H119" s="646"/>
      <c r="I119" s="646"/>
      <c r="J119" s="646"/>
      <c r="K119" s="647"/>
      <c r="L119" s="606">
        <v>3720</v>
      </c>
      <c r="M119" s="278">
        <f t="shared" ref="M119" si="260">+L119*$X$1</f>
        <v>3720</v>
      </c>
      <c r="N119" s="384">
        <v>3271</v>
      </c>
      <c r="O119" s="278">
        <f t="shared" ref="O119" si="261">+N119*$X$1</f>
        <v>3271</v>
      </c>
      <c r="P119" s="549">
        <v>3265</v>
      </c>
      <c r="Q119" s="278">
        <f t="shared" ref="Q119" si="262">+P119*$X$1</f>
        <v>3265</v>
      </c>
      <c r="R119" s="607">
        <v>3005</v>
      </c>
      <c r="S119" s="278">
        <f t="shared" ref="S119" si="263">+R119*$X$1</f>
        <v>3005</v>
      </c>
      <c r="T119" s="607">
        <v>2829</v>
      </c>
      <c r="U119" s="295">
        <f t="shared" ref="U119" si="264">+T119*$X$1</f>
        <v>2829</v>
      </c>
      <c r="V119" s="607">
        <v>1927</v>
      </c>
      <c r="W119" s="295">
        <f t="shared" ref="W119" si="265">+V119*$X$1</f>
        <v>1927</v>
      </c>
      <c r="X119" s="648"/>
      <c r="Y119" s="649"/>
      <c r="Z119" s="649"/>
      <c r="AA119" s="650"/>
      <c r="AB119" s="397" t="s">
        <v>781</v>
      </c>
    </row>
    <row r="120" spans="1:28" ht="12.6" customHeight="1" x14ac:dyDescent="0.2">
      <c r="A120" s="18"/>
      <c r="B120" s="655" t="s">
        <v>780</v>
      </c>
      <c r="C120" s="747"/>
      <c r="D120" s="747"/>
      <c r="E120" s="747"/>
      <c r="F120" s="340"/>
      <c r="G120" s="645" t="s">
        <v>389</v>
      </c>
      <c r="H120" s="646"/>
      <c r="I120" s="646"/>
      <c r="J120" s="646"/>
      <c r="K120" s="647"/>
      <c r="L120" s="611">
        <v>2795</v>
      </c>
      <c r="M120" s="279">
        <f t="shared" ref="M120" si="266">+L120*$X$1</f>
        <v>2795</v>
      </c>
      <c r="N120" s="87">
        <v>2453</v>
      </c>
      <c r="O120" s="279">
        <f t="shared" ref="O120" si="267">+N120*$X$1</f>
        <v>2453</v>
      </c>
      <c r="P120" s="273">
        <v>2447</v>
      </c>
      <c r="Q120" s="279">
        <f t="shared" ref="Q120" si="268">+P120*$X$1</f>
        <v>2447</v>
      </c>
      <c r="R120" s="440">
        <v>2252</v>
      </c>
      <c r="S120" s="279">
        <f t="shared" ref="S120" si="269">+R120*$X$1</f>
        <v>2252</v>
      </c>
      <c r="T120" s="440">
        <v>2119</v>
      </c>
      <c r="U120" s="279">
        <f t="shared" ref="U120" si="270">+T120*$X$1</f>
        <v>2119</v>
      </c>
      <c r="V120" s="440">
        <v>1307</v>
      </c>
      <c r="W120" s="279">
        <f t="shared" ref="W120" si="271">+V120*$X$1</f>
        <v>1307</v>
      </c>
      <c r="X120" s="648"/>
      <c r="Y120" s="649"/>
      <c r="Z120" s="649"/>
      <c r="AA120" s="650"/>
      <c r="AB120" s="397" t="s">
        <v>784</v>
      </c>
    </row>
    <row r="121" spans="1:28" ht="12.6" customHeight="1" x14ac:dyDescent="0.2">
      <c r="A121" s="18"/>
      <c r="B121" s="690" t="s">
        <v>393</v>
      </c>
      <c r="C121" s="691"/>
      <c r="D121" s="691"/>
      <c r="E121" s="691"/>
      <c r="F121" s="333"/>
      <c r="G121" s="645" t="s">
        <v>388</v>
      </c>
      <c r="H121" s="646"/>
      <c r="I121" s="646"/>
      <c r="J121" s="646"/>
      <c r="K121" s="647"/>
      <c r="L121" s="606">
        <v>1660</v>
      </c>
      <c r="M121" s="278">
        <f t="shared" si="249"/>
        <v>1660</v>
      </c>
      <c r="N121" s="70">
        <v>1441</v>
      </c>
      <c r="O121" s="278">
        <f t="shared" si="249"/>
        <v>1441</v>
      </c>
      <c r="P121" s="309">
        <v>1436</v>
      </c>
      <c r="Q121" s="278">
        <f t="shared" si="250"/>
        <v>1436</v>
      </c>
      <c r="R121" s="607">
        <v>1321</v>
      </c>
      <c r="S121" s="278">
        <f t="shared" si="251"/>
        <v>1321</v>
      </c>
      <c r="T121" s="607">
        <v>1245</v>
      </c>
      <c r="U121" s="278">
        <f t="shared" si="252"/>
        <v>1245</v>
      </c>
      <c r="V121" s="607">
        <v>685</v>
      </c>
      <c r="W121" s="278">
        <f t="shared" si="253"/>
        <v>685</v>
      </c>
      <c r="X121" s="648"/>
      <c r="Y121" s="649"/>
      <c r="Z121" s="649"/>
      <c r="AA121" s="650"/>
      <c r="AB121" s="397">
        <v>302</v>
      </c>
    </row>
    <row r="122" spans="1:28" ht="12.6" customHeight="1" x14ac:dyDescent="0.2">
      <c r="A122" s="18"/>
      <c r="B122" s="672" t="s">
        <v>394</v>
      </c>
      <c r="C122" s="673"/>
      <c r="D122" s="673"/>
      <c r="E122" s="673"/>
      <c r="F122" s="279"/>
      <c r="G122" s="645" t="s">
        <v>388</v>
      </c>
      <c r="H122" s="646"/>
      <c r="I122" s="646"/>
      <c r="J122" s="646"/>
      <c r="K122" s="647"/>
      <c r="L122" s="611">
        <v>1825</v>
      </c>
      <c r="M122" s="279">
        <f t="shared" si="249"/>
        <v>1825</v>
      </c>
      <c r="N122" s="87">
        <v>1595</v>
      </c>
      <c r="O122" s="279">
        <f t="shared" si="249"/>
        <v>1595</v>
      </c>
      <c r="P122" s="273">
        <v>1590</v>
      </c>
      <c r="Q122" s="279">
        <f t="shared" si="250"/>
        <v>1590</v>
      </c>
      <c r="R122" s="440">
        <v>1462</v>
      </c>
      <c r="S122" s="279">
        <f t="shared" si="251"/>
        <v>1462</v>
      </c>
      <c r="T122" s="440">
        <v>1376</v>
      </c>
      <c r="U122" s="279">
        <f t="shared" si="252"/>
        <v>1376</v>
      </c>
      <c r="V122" s="440">
        <v>801</v>
      </c>
      <c r="W122" s="279">
        <f t="shared" si="253"/>
        <v>801</v>
      </c>
      <c r="X122" s="648"/>
      <c r="Y122" s="649"/>
      <c r="Z122" s="649"/>
      <c r="AA122" s="650"/>
      <c r="AB122" s="397" t="s">
        <v>159</v>
      </c>
    </row>
    <row r="123" spans="1:28" ht="12.6" customHeight="1" x14ac:dyDescent="0.2">
      <c r="A123" s="18"/>
      <c r="B123" s="690" t="s">
        <v>364</v>
      </c>
      <c r="C123" s="691"/>
      <c r="D123" s="691"/>
      <c r="E123" s="691"/>
      <c r="F123" s="333"/>
      <c r="G123" s="645" t="s">
        <v>388</v>
      </c>
      <c r="H123" s="646"/>
      <c r="I123" s="646"/>
      <c r="J123" s="646"/>
      <c r="K123" s="647"/>
      <c r="L123" s="606">
        <v>3200</v>
      </c>
      <c r="M123" s="278">
        <f t="shared" ref="M123" si="272">+L123*$X$1</f>
        <v>3200</v>
      </c>
      <c r="N123" s="70">
        <v>2816</v>
      </c>
      <c r="O123" s="278">
        <f t="shared" ref="O123" si="273">+N123*$X$1</f>
        <v>2816</v>
      </c>
      <c r="P123" s="309">
        <v>2810</v>
      </c>
      <c r="Q123" s="278">
        <f t="shared" ref="Q123" si="274">+P123*$X$1</f>
        <v>2810</v>
      </c>
      <c r="R123" s="607">
        <v>2586</v>
      </c>
      <c r="S123" s="278">
        <f t="shared" ref="S123" si="275">+R123*$X$1</f>
        <v>2586</v>
      </c>
      <c r="T123" s="607">
        <v>2434</v>
      </c>
      <c r="U123" s="278">
        <f t="shared" ref="U123" si="276">+T123*$X$1</f>
        <v>2434</v>
      </c>
      <c r="V123" s="607">
        <v>1724</v>
      </c>
      <c r="W123" s="278">
        <f t="shared" ref="W123" si="277">+V123*$X$1</f>
        <v>1724</v>
      </c>
      <c r="X123" s="648"/>
      <c r="Y123" s="649"/>
      <c r="Z123" s="649"/>
      <c r="AA123" s="650"/>
      <c r="AB123" s="397" t="s">
        <v>160</v>
      </c>
    </row>
    <row r="124" spans="1:28" ht="12.6" customHeight="1" x14ac:dyDescent="0.2">
      <c r="A124" s="18"/>
      <c r="B124" s="672" t="s">
        <v>779</v>
      </c>
      <c r="C124" s="712"/>
      <c r="D124" s="712"/>
      <c r="E124" s="712"/>
      <c r="F124" s="332"/>
      <c r="G124" s="645" t="s">
        <v>388</v>
      </c>
      <c r="H124" s="646"/>
      <c r="I124" s="646"/>
      <c r="J124" s="646"/>
      <c r="K124" s="647"/>
      <c r="L124" s="611">
        <v>3200</v>
      </c>
      <c r="M124" s="279">
        <f t="shared" ref="M124" si="278">+L124*$X$1</f>
        <v>3200</v>
      </c>
      <c r="N124" s="87">
        <v>2816</v>
      </c>
      <c r="O124" s="279">
        <f t="shared" ref="O124" si="279">+N124*$X$1</f>
        <v>2816</v>
      </c>
      <c r="P124" s="273">
        <v>2810</v>
      </c>
      <c r="Q124" s="279">
        <f t="shared" ref="Q124" si="280">+P124*$X$1</f>
        <v>2810</v>
      </c>
      <c r="R124" s="440">
        <v>2586</v>
      </c>
      <c r="S124" s="279">
        <f t="shared" ref="S124" si="281">+R124*$X$1</f>
        <v>2586</v>
      </c>
      <c r="T124" s="440">
        <v>2434</v>
      </c>
      <c r="U124" s="279">
        <f t="shared" ref="U124" si="282">+T124*$X$1</f>
        <v>2434</v>
      </c>
      <c r="V124" s="440">
        <v>1724</v>
      </c>
      <c r="W124" s="279">
        <f t="shared" ref="W124" si="283">+V124*$X$1</f>
        <v>1724</v>
      </c>
      <c r="X124" s="648"/>
      <c r="Y124" s="649"/>
      <c r="Z124" s="649"/>
      <c r="AA124" s="650"/>
      <c r="AB124" s="397" t="s">
        <v>782</v>
      </c>
    </row>
    <row r="125" spans="1:28" ht="12.6" customHeight="1" x14ac:dyDescent="0.2">
      <c r="A125" s="18"/>
      <c r="B125" s="655" t="s">
        <v>783</v>
      </c>
      <c r="C125" s="747"/>
      <c r="D125" s="747"/>
      <c r="E125" s="747"/>
      <c r="F125" s="333"/>
      <c r="G125" s="645" t="s">
        <v>388</v>
      </c>
      <c r="H125" s="646"/>
      <c r="I125" s="646"/>
      <c r="J125" s="646"/>
      <c r="K125" s="647"/>
      <c r="L125" s="606">
        <v>2280</v>
      </c>
      <c r="M125" s="278">
        <f t="shared" ref="M125" si="284">+L125*$X$1</f>
        <v>2280</v>
      </c>
      <c r="N125" s="70">
        <v>1998</v>
      </c>
      <c r="O125" s="278">
        <f t="shared" ref="O125" si="285">+N125*$X$1</f>
        <v>1998</v>
      </c>
      <c r="P125" s="309">
        <v>1990</v>
      </c>
      <c r="Q125" s="278">
        <f t="shared" ref="Q125" si="286">+P125*$X$1</f>
        <v>1990</v>
      </c>
      <c r="R125" s="607">
        <v>1832</v>
      </c>
      <c r="S125" s="278">
        <f t="shared" ref="S125" si="287">+R125*$X$1</f>
        <v>1832</v>
      </c>
      <c r="T125" s="607">
        <v>1724</v>
      </c>
      <c r="U125" s="278">
        <f t="shared" ref="U125" si="288">+T125*$X$1</f>
        <v>1724</v>
      </c>
      <c r="V125" s="607">
        <v>1103</v>
      </c>
      <c r="W125" s="278">
        <v>1105</v>
      </c>
      <c r="X125" s="648"/>
      <c r="Y125" s="649"/>
      <c r="Z125" s="649"/>
      <c r="AA125" s="650"/>
      <c r="AB125" s="397" t="s">
        <v>786</v>
      </c>
    </row>
    <row r="126" spans="1:28" ht="12.6" customHeight="1" x14ac:dyDescent="0.2">
      <c r="A126" s="18"/>
      <c r="B126" s="659" t="s">
        <v>616</v>
      </c>
      <c r="C126" s="660"/>
      <c r="D126" s="660"/>
      <c r="E126" s="660"/>
      <c r="F126" s="308"/>
      <c r="G126" s="645" t="s">
        <v>389</v>
      </c>
      <c r="H126" s="646"/>
      <c r="I126" s="646"/>
      <c r="J126" s="646"/>
      <c r="K126" s="647"/>
      <c r="L126" s="611">
        <v>2370</v>
      </c>
      <c r="M126" s="279">
        <f t="shared" si="249"/>
        <v>2370</v>
      </c>
      <c r="N126" s="572">
        <v>2053</v>
      </c>
      <c r="O126" s="279">
        <f t="shared" si="249"/>
        <v>2053</v>
      </c>
      <c r="P126" s="372">
        <v>2046</v>
      </c>
      <c r="Q126" s="279">
        <f t="shared" si="250"/>
        <v>2046</v>
      </c>
      <c r="R126" s="440">
        <v>1882</v>
      </c>
      <c r="S126" s="279">
        <f t="shared" si="251"/>
        <v>1882</v>
      </c>
      <c r="T126" s="440">
        <v>1614</v>
      </c>
      <c r="U126" s="279">
        <v>1771</v>
      </c>
      <c r="V126" s="440">
        <v>1512</v>
      </c>
      <c r="W126" s="279">
        <f t="shared" si="253"/>
        <v>1512</v>
      </c>
      <c r="X126" s="648"/>
      <c r="Y126" s="649"/>
      <c r="Z126" s="649"/>
      <c r="AA126" s="650"/>
      <c r="AB126" s="397">
        <v>303</v>
      </c>
    </row>
    <row r="127" spans="1:28" ht="12.6" customHeight="1" x14ac:dyDescent="0.2">
      <c r="A127" s="18"/>
      <c r="B127" s="655" t="s">
        <v>833</v>
      </c>
      <c r="C127" s="656"/>
      <c r="D127" s="656"/>
      <c r="E127" s="656"/>
      <c r="F127" s="278">
        <v>1990</v>
      </c>
      <c r="G127" s="278">
        <f>+F127*$X$1</f>
        <v>1990</v>
      </c>
      <c r="H127" s="70"/>
      <c r="I127" s="278"/>
      <c r="J127" s="70">
        <f>F127+200</f>
        <v>2190</v>
      </c>
      <c r="K127" s="278">
        <f t="shared" ref="K127" si="289">+J127*$X$1</f>
        <v>2190</v>
      </c>
      <c r="L127" s="607">
        <f t="shared" ref="L127" si="290">F127+150</f>
        <v>2140</v>
      </c>
      <c r="M127" s="278">
        <f t="shared" si="249"/>
        <v>2140</v>
      </c>
      <c r="N127" s="607">
        <f t="shared" ref="N127" si="291">F127+110</f>
        <v>2100</v>
      </c>
      <c r="O127" s="278">
        <f t="shared" si="249"/>
        <v>2100</v>
      </c>
      <c r="P127" s="607">
        <f t="shared" ref="P127" si="292">F127+100</f>
        <v>2090</v>
      </c>
      <c r="Q127" s="278">
        <f t="shared" si="250"/>
        <v>2090</v>
      </c>
      <c r="R127" s="607">
        <f t="shared" ref="R127" si="293">F127+80</f>
        <v>2070</v>
      </c>
      <c r="S127" s="278">
        <f t="shared" si="251"/>
        <v>2070</v>
      </c>
      <c r="T127" s="607">
        <f t="shared" ref="T127" si="294">F127+65</f>
        <v>2055</v>
      </c>
      <c r="U127" s="278">
        <f t="shared" si="252"/>
        <v>2055</v>
      </c>
      <c r="V127" s="607">
        <f t="shared" ref="V127" si="295">F127+56</f>
        <v>2046</v>
      </c>
      <c r="W127" s="278">
        <f t="shared" si="253"/>
        <v>2046</v>
      </c>
      <c r="X127" s="671"/>
      <c r="Y127" s="652"/>
      <c r="Z127" s="652"/>
      <c r="AA127" s="653"/>
      <c r="AB127" s="397">
        <v>304</v>
      </c>
    </row>
    <row r="128" spans="1:28" ht="12.6" customHeight="1" x14ac:dyDescent="0.2">
      <c r="A128" s="18"/>
      <c r="B128" s="672" t="s">
        <v>753</v>
      </c>
      <c r="C128" s="673"/>
      <c r="D128" s="673"/>
      <c r="E128" s="673"/>
      <c r="F128" s="279">
        <v>2471</v>
      </c>
      <c r="G128" s="279">
        <f t="shared" ref="G128" si="296">+F128*$X$1</f>
        <v>2471</v>
      </c>
      <c r="H128" s="440"/>
      <c r="I128" s="279"/>
      <c r="J128" s="440"/>
      <c r="K128" s="279"/>
      <c r="L128" s="440">
        <f>F128+150</f>
        <v>2621</v>
      </c>
      <c r="M128" s="279">
        <f t="shared" si="249"/>
        <v>2621</v>
      </c>
      <c r="N128" s="440">
        <f>F128+100</f>
        <v>2571</v>
      </c>
      <c r="O128" s="279">
        <f>+N128*$X$1</f>
        <v>2571</v>
      </c>
      <c r="P128" s="440">
        <f>F128+90</f>
        <v>2561</v>
      </c>
      <c r="Q128" s="279">
        <f t="shared" si="250"/>
        <v>2561</v>
      </c>
      <c r="R128" s="440">
        <f>F128+70</f>
        <v>2541</v>
      </c>
      <c r="S128" s="279">
        <f>+R128*$X$1</f>
        <v>2541</v>
      </c>
      <c r="T128" s="440">
        <f>F128+56</f>
        <v>2527</v>
      </c>
      <c r="U128" s="279">
        <f t="shared" ref="U128:U129" si="297">+T128*$X$1</f>
        <v>2527</v>
      </c>
      <c r="V128" s="440">
        <f>F128+49</f>
        <v>2520</v>
      </c>
      <c r="W128" s="279">
        <f t="shared" ref="W128:W129" si="298">+V128*$X$1</f>
        <v>2520</v>
      </c>
      <c r="X128" s="671"/>
      <c r="Y128" s="652"/>
      <c r="Z128" s="652"/>
      <c r="AA128" s="653"/>
      <c r="AB128" s="397">
        <v>307</v>
      </c>
    </row>
    <row r="129" spans="1:33" ht="12.6" customHeight="1" x14ac:dyDescent="0.2">
      <c r="A129" s="18"/>
      <c r="B129" s="690" t="s">
        <v>529</v>
      </c>
      <c r="C129" s="691"/>
      <c r="D129" s="691"/>
      <c r="E129" s="691"/>
      <c r="F129" s="295">
        <v>1453</v>
      </c>
      <c r="G129" s="278">
        <f>+F129*$X$1</f>
        <v>1453</v>
      </c>
      <c r="H129" s="272"/>
      <c r="I129" s="330"/>
      <c r="J129" s="607"/>
      <c r="K129" s="278"/>
      <c r="L129" s="607">
        <v>3145</v>
      </c>
      <c r="M129" s="278">
        <f>+L129*$X$1</f>
        <v>3145</v>
      </c>
      <c r="N129" s="607">
        <v>2350</v>
      </c>
      <c r="O129" s="278">
        <f t="shared" si="249"/>
        <v>2350</v>
      </c>
      <c r="P129" s="309">
        <v>2171</v>
      </c>
      <c r="Q129" s="278">
        <f t="shared" ref="Q129" si="299">+P129*$X$1</f>
        <v>2171</v>
      </c>
      <c r="R129" s="607">
        <v>2001</v>
      </c>
      <c r="S129" s="278">
        <f t="shared" si="251"/>
        <v>2001</v>
      </c>
      <c r="T129" s="607">
        <v>1875</v>
      </c>
      <c r="U129" s="278">
        <f t="shared" si="297"/>
        <v>1875</v>
      </c>
      <c r="V129" s="607">
        <v>1787</v>
      </c>
      <c r="W129" s="278">
        <f t="shared" si="298"/>
        <v>1787</v>
      </c>
      <c r="X129" s="671"/>
      <c r="Y129" s="652"/>
      <c r="Z129" s="652"/>
      <c r="AA129" s="653"/>
      <c r="AB129" s="397">
        <v>308</v>
      </c>
    </row>
    <row r="130" spans="1:33" ht="12.6" customHeight="1" x14ac:dyDescent="0.2">
      <c r="A130" s="18"/>
      <c r="B130" s="672" t="s">
        <v>528</v>
      </c>
      <c r="C130" s="673"/>
      <c r="D130" s="673"/>
      <c r="E130" s="673"/>
      <c r="F130" s="308">
        <v>1453</v>
      </c>
      <c r="G130" s="279">
        <f>+F130*$X$1</f>
        <v>1453</v>
      </c>
      <c r="H130" s="271"/>
      <c r="I130" s="331"/>
      <c r="J130" s="440"/>
      <c r="K130" s="279"/>
      <c r="L130" s="440">
        <v>3145</v>
      </c>
      <c r="M130" s="279">
        <f>+L130*$X$1</f>
        <v>3145</v>
      </c>
      <c r="N130" s="440">
        <v>2350</v>
      </c>
      <c r="O130" s="279">
        <f t="shared" ref="O130" si="300">+N130*$X$1</f>
        <v>2350</v>
      </c>
      <c r="P130" s="273">
        <v>2171</v>
      </c>
      <c r="Q130" s="279">
        <f t="shared" ref="Q130:Q133" si="301">+P130*$X$1</f>
        <v>2171</v>
      </c>
      <c r="R130" s="440">
        <v>2001</v>
      </c>
      <c r="S130" s="279">
        <f t="shared" ref="S130" si="302">+R130*$X$1</f>
        <v>2001</v>
      </c>
      <c r="T130" s="440">
        <v>1875</v>
      </c>
      <c r="U130" s="279">
        <f t="shared" ref="U130:U133" si="303">+T130*$X$1</f>
        <v>1875</v>
      </c>
      <c r="V130" s="440">
        <v>1787</v>
      </c>
      <c r="W130" s="279">
        <f t="shared" ref="W130:W133" si="304">+V130*$X$1</f>
        <v>1787</v>
      </c>
      <c r="X130" s="671"/>
      <c r="Y130" s="652"/>
      <c r="Z130" s="652"/>
      <c r="AA130" s="653"/>
      <c r="AB130" s="397">
        <v>309</v>
      </c>
    </row>
    <row r="131" spans="1:33" ht="12.6" customHeight="1" x14ac:dyDescent="0.2">
      <c r="A131" s="18"/>
      <c r="B131" s="690" t="s">
        <v>849</v>
      </c>
      <c r="C131" s="691"/>
      <c r="D131" s="691"/>
      <c r="E131" s="691"/>
      <c r="F131" s="364">
        <f>0.77*X2</f>
        <v>845.46</v>
      </c>
      <c r="G131" s="278">
        <f>+F131*$X$1</f>
        <v>845.46</v>
      </c>
      <c r="H131" s="494"/>
      <c r="I131" s="278"/>
      <c r="J131" s="607">
        <f>F131+200</f>
        <v>1045.46</v>
      </c>
      <c r="K131" s="278">
        <f t="shared" ref="K131" si="305">+J131*$X$1</f>
        <v>1045.46</v>
      </c>
      <c r="L131" s="607">
        <f>F131+150</f>
        <v>995.46</v>
      </c>
      <c r="M131" s="278">
        <f t="shared" ref="M131:M133" si="306">+L131*$X$1</f>
        <v>995.46</v>
      </c>
      <c r="N131" s="607">
        <f>F131+100</f>
        <v>945.46</v>
      </c>
      <c r="O131" s="278">
        <f>+N131*$X$1</f>
        <v>945.46</v>
      </c>
      <c r="P131" s="607">
        <f>F131+90</f>
        <v>935.46</v>
      </c>
      <c r="Q131" s="278">
        <f t="shared" si="301"/>
        <v>935.46</v>
      </c>
      <c r="R131" s="607">
        <f>F131+70</f>
        <v>915.46</v>
      </c>
      <c r="S131" s="278">
        <f>+R131*$X$1</f>
        <v>915.46</v>
      </c>
      <c r="T131" s="607">
        <f>F131+56</f>
        <v>901.46</v>
      </c>
      <c r="U131" s="278">
        <f t="shared" si="303"/>
        <v>901.46</v>
      </c>
      <c r="V131" s="607">
        <f>F131+49</f>
        <v>894.46</v>
      </c>
      <c r="W131" s="278">
        <f t="shared" si="304"/>
        <v>894.46</v>
      </c>
      <c r="X131" s="671"/>
      <c r="Y131" s="652"/>
      <c r="Z131" s="652"/>
      <c r="AA131" s="653"/>
      <c r="AB131" s="397">
        <v>310</v>
      </c>
    </row>
    <row r="132" spans="1:33" ht="12.6" customHeight="1" x14ac:dyDescent="0.2">
      <c r="A132" s="18"/>
      <c r="B132" s="672" t="s">
        <v>793</v>
      </c>
      <c r="C132" s="673"/>
      <c r="D132" s="673"/>
      <c r="E132" s="673"/>
      <c r="F132" s="365">
        <f>0.81*X2</f>
        <v>889.38000000000011</v>
      </c>
      <c r="G132" s="279">
        <f>+F132*$X$1</f>
        <v>889.38000000000011</v>
      </c>
      <c r="H132" s="440"/>
      <c r="I132" s="279"/>
      <c r="J132" s="440">
        <f>F132+200</f>
        <v>1089.3800000000001</v>
      </c>
      <c r="K132" s="279">
        <f t="shared" ref="K132" si="307">+J132*$X$1</f>
        <v>1089.3800000000001</v>
      </c>
      <c r="L132" s="440">
        <f>F132+150</f>
        <v>1039.3800000000001</v>
      </c>
      <c r="M132" s="279">
        <f t="shared" si="306"/>
        <v>1039.3800000000001</v>
      </c>
      <c r="N132" s="440">
        <f>F132+100</f>
        <v>989.38000000000011</v>
      </c>
      <c r="O132" s="279">
        <f>+N132*$X$1</f>
        <v>989.38000000000011</v>
      </c>
      <c r="P132" s="440">
        <f>F132+90</f>
        <v>979.38000000000011</v>
      </c>
      <c r="Q132" s="279">
        <f t="shared" si="301"/>
        <v>979.38000000000011</v>
      </c>
      <c r="R132" s="440">
        <f>F132+70</f>
        <v>959.38000000000011</v>
      </c>
      <c r="S132" s="279">
        <f>+R132*$X$1</f>
        <v>959.38000000000011</v>
      </c>
      <c r="T132" s="440">
        <f>F132+56</f>
        <v>945.38000000000011</v>
      </c>
      <c r="U132" s="279">
        <f t="shared" si="303"/>
        <v>945.38000000000011</v>
      </c>
      <c r="V132" s="440">
        <f>F132+49</f>
        <v>938.38000000000011</v>
      </c>
      <c r="W132" s="279">
        <f t="shared" si="304"/>
        <v>938.38000000000011</v>
      </c>
      <c r="X132" s="671"/>
      <c r="Y132" s="652"/>
      <c r="Z132" s="652"/>
      <c r="AA132" s="653"/>
      <c r="AB132" s="397">
        <v>311</v>
      </c>
    </row>
    <row r="133" spans="1:33" ht="12.6" customHeight="1" x14ac:dyDescent="0.2">
      <c r="A133" s="18"/>
      <c r="B133" s="690" t="s">
        <v>468</v>
      </c>
      <c r="C133" s="691"/>
      <c r="D133" s="691"/>
      <c r="E133" s="691"/>
      <c r="F133" s="364">
        <f>1.3*X2</f>
        <v>1427.4</v>
      </c>
      <c r="G133" s="278">
        <f t="shared" ref="G133" si="308">+F133*$X$1</f>
        <v>1427.4</v>
      </c>
      <c r="H133" s="494"/>
      <c r="I133" s="278"/>
      <c r="J133" s="607">
        <f>F133+200</f>
        <v>1627.4</v>
      </c>
      <c r="K133" s="278">
        <f t="shared" ref="K133" si="309">+J133*$X$1</f>
        <v>1627.4</v>
      </c>
      <c r="L133" s="607">
        <f>F133+150</f>
        <v>1577.4</v>
      </c>
      <c r="M133" s="278">
        <f t="shared" si="306"/>
        <v>1577.4</v>
      </c>
      <c r="N133" s="607">
        <f>F133+100</f>
        <v>1527.4</v>
      </c>
      <c r="O133" s="278">
        <f>+N133*$X$1</f>
        <v>1527.4</v>
      </c>
      <c r="P133" s="607">
        <f>F133+90</f>
        <v>1517.4</v>
      </c>
      <c r="Q133" s="278">
        <f t="shared" si="301"/>
        <v>1517.4</v>
      </c>
      <c r="R133" s="607">
        <f>F133+70</f>
        <v>1497.4</v>
      </c>
      <c r="S133" s="278">
        <f>+R133*$X$1</f>
        <v>1497.4</v>
      </c>
      <c r="T133" s="607">
        <f>F133+56</f>
        <v>1483.4</v>
      </c>
      <c r="U133" s="278">
        <f t="shared" si="303"/>
        <v>1483.4</v>
      </c>
      <c r="V133" s="607">
        <f>F133+49</f>
        <v>1476.4</v>
      </c>
      <c r="W133" s="278">
        <f t="shared" si="304"/>
        <v>1476.4</v>
      </c>
      <c r="X133" s="671"/>
      <c r="Y133" s="652"/>
      <c r="Z133" s="652"/>
      <c r="AA133" s="653"/>
      <c r="AB133" s="397">
        <v>312</v>
      </c>
    </row>
    <row r="134" spans="1:33" ht="12.6" customHeight="1" x14ac:dyDescent="0.2">
      <c r="A134" s="18"/>
      <c r="B134" s="748" t="s">
        <v>161</v>
      </c>
      <c r="C134" s="772"/>
      <c r="D134" s="772"/>
      <c r="E134" s="773"/>
      <c r="F134" s="279"/>
      <c r="G134" s="279"/>
      <c r="H134" s="440"/>
      <c r="I134" s="279"/>
      <c r="J134" s="87"/>
      <c r="K134" s="279"/>
      <c r="L134" s="440"/>
      <c r="M134" s="279"/>
      <c r="N134" s="440"/>
      <c r="O134" s="279"/>
      <c r="P134" s="440"/>
      <c r="Q134" s="279"/>
      <c r="R134" s="440"/>
      <c r="S134" s="279"/>
      <c r="T134" s="440"/>
      <c r="U134" s="279"/>
      <c r="V134" s="440"/>
      <c r="W134" s="279"/>
      <c r="X134" s="671"/>
      <c r="Y134" s="652"/>
      <c r="Z134" s="652"/>
      <c r="AA134" s="653"/>
      <c r="AB134" s="397" t="s">
        <v>162</v>
      </c>
    </row>
    <row r="135" spans="1:33" ht="12.6" customHeight="1" x14ac:dyDescent="0.2">
      <c r="A135" s="18"/>
      <c r="B135" s="768" t="s">
        <v>163</v>
      </c>
      <c r="C135" s="769"/>
      <c r="D135" s="769"/>
      <c r="E135" s="770"/>
      <c r="F135" s="295"/>
      <c r="G135" s="278"/>
      <c r="H135" s="494"/>
      <c r="I135" s="278"/>
      <c r="J135" s="70"/>
      <c r="K135" s="278"/>
      <c r="L135" s="494"/>
      <c r="M135" s="278"/>
      <c r="N135" s="494"/>
      <c r="O135" s="278"/>
      <c r="P135" s="494"/>
      <c r="Q135" s="278"/>
      <c r="R135" s="494"/>
      <c r="S135" s="278"/>
      <c r="T135" s="494"/>
      <c r="U135" s="278"/>
      <c r="V135" s="494"/>
      <c r="W135" s="278"/>
      <c r="X135" s="668"/>
      <c r="Y135" s="824"/>
      <c r="Z135" s="824"/>
      <c r="AA135" s="938"/>
      <c r="AB135" s="432" t="s">
        <v>164</v>
      </c>
    </row>
    <row r="136" spans="1:33" ht="12.6" customHeight="1" x14ac:dyDescent="0.2">
      <c r="A136" s="18"/>
      <c r="B136" s="748" t="s">
        <v>165</v>
      </c>
      <c r="C136" s="772"/>
      <c r="D136" s="772"/>
      <c r="E136" s="773"/>
      <c r="F136" s="279"/>
      <c r="G136" s="279"/>
      <c r="H136" s="440"/>
      <c r="I136" s="279"/>
      <c r="J136" s="87"/>
      <c r="K136" s="279"/>
      <c r="L136" s="440"/>
      <c r="M136" s="279"/>
      <c r="N136" s="440"/>
      <c r="O136" s="279"/>
      <c r="P136" s="440"/>
      <c r="Q136" s="279"/>
      <c r="R136" s="440"/>
      <c r="S136" s="279"/>
      <c r="T136" s="440"/>
      <c r="U136" s="279"/>
      <c r="V136" s="440"/>
      <c r="W136" s="279"/>
      <c r="X136" s="824"/>
      <c r="Y136" s="824"/>
      <c r="Z136" s="824"/>
      <c r="AA136" s="824"/>
      <c r="AB136" s="189" t="s">
        <v>166</v>
      </c>
    </row>
    <row r="137" spans="1:33" ht="12.6" customHeight="1" x14ac:dyDescent="0.2">
      <c r="A137" s="18"/>
      <c r="B137" s="733" t="s">
        <v>167</v>
      </c>
      <c r="C137" s="734"/>
      <c r="D137" s="734"/>
      <c r="E137" s="735"/>
      <c r="F137" s="278"/>
      <c r="G137" s="278"/>
      <c r="H137" s="494"/>
      <c r="I137" s="278"/>
      <c r="J137" s="70"/>
      <c r="K137" s="278"/>
      <c r="L137" s="494"/>
      <c r="M137" s="278"/>
      <c r="N137" s="494"/>
      <c r="O137" s="278"/>
      <c r="P137" s="494"/>
      <c r="Q137" s="278"/>
      <c r="R137" s="494"/>
      <c r="S137" s="278"/>
      <c r="T137" s="494"/>
      <c r="U137" s="278"/>
      <c r="V137" s="494"/>
      <c r="W137" s="278"/>
      <c r="X137" s="824"/>
      <c r="Y137" s="824"/>
      <c r="Z137" s="824"/>
      <c r="AA137" s="824"/>
      <c r="AB137" s="189" t="s">
        <v>168</v>
      </c>
    </row>
    <row r="138" spans="1:33" ht="12.6" customHeight="1" x14ac:dyDescent="0.2">
      <c r="A138" s="95"/>
      <c r="B138" s="748" t="s">
        <v>354</v>
      </c>
      <c r="C138" s="950"/>
      <c r="D138" s="950"/>
      <c r="E138" s="951"/>
      <c r="F138" s="279"/>
      <c r="G138" s="279"/>
      <c r="H138" s="87"/>
      <c r="I138" s="440"/>
      <c r="J138" s="440"/>
      <c r="K138" s="440"/>
      <c r="L138" s="440"/>
      <c r="M138" s="279"/>
      <c r="N138" s="440"/>
      <c r="O138" s="279"/>
      <c r="P138" s="440"/>
      <c r="Q138" s="279"/>
      <c r="R138" s="440"/>
      <c r="S138" s="279"/>
      <c r="T138" s="440"/>
      <c r="U138" s="279"/>
      <c r="V138" s="440"/>
      <c r="W138" s="279"/>
      <c r="X138" s="781"/>
      <c r="Y138" s="825"/>
      <c r="Z138" s="825"/>
      <c r="AA138" s="826"/>
      <c r="AB138" s="189"/>
    </row>
    <row r="139" spans="1:33" ht="12.6" customHeight="1" x14ac:dyDescent="0.2">
      <c r="A139" s="95"/>
      <c r="B139" s="690" t="s">
        <v>169</v>
      </c>
      <c r="C139" s="691"/>
      <c r="D139" s="691"/>
      <c r="E139" s="691"/>
      <c r="F139" s="278"/>
      <c r="G139" s="278"/>
      <c r="H139" s="70"/>
      <c r="I139" s="494"/>
      <c r="J139" s="494"/>
      <c r="K139" s="494"/>
      <c r="L139" s="494"/>
      <c r="M139" s="278"/>
      <c r="N139" s="494"/>
      <c r="O139" s="278"/>
      <c r="P139" s="494"/>
      <c r="Q139" s="278"/>
      <c r="R139" s="494"/>
      <c r="S139" s="278"/>
      <c r="T139" s="494"/>
      <c r="U139" s="278"/>
      <c r="V139" s="494"/>
      <c r="W139" s="278"/>
      <c r="X139" s="781"/>
      <c r="Y139" s="782"/>
      <c r="Z139" s="782"/>
      <c r="AA139" s="783"/>
      <c r="AB139" s="189">
        <v>316</v>
      </c>
      <c r="AC139" s="59"/>
      <c r="AD139" s="59"/>
      <c r="AE139" s="59"/>
      <c r="AF139" s="59"/>
    </row>
    <row r="140" spans="1:33" ht="12.6" customHeight="1" x14ac:dyDescent="0.2">
      <c r="A140" s="95"/>
      <c r="B140" s="672" t="s">
        <v>170</v>
      </c>
      <c r="C140" s="673"/>
      <c r="D140" s="673"/>
      <c r="E140" s="673"/>
      <c r="F140" s="279"/>
      <c r="G140" s="499"/>
      <c r="H140" s="87"/>
      <c r="I140" s="500"/>
      <c r="J140" s="440"/>
      <c r="K140" s="500"/>
      <c r="L140" s="440"/>
      <c r="M140" s="501"/>
      <c r="N140" s="440"/>
      <c r="O140" s="501"/>
      <c r="P140" s="440"/>
      <c r="Q140" s="501"/>
      <c r="R140" s="440"/>
      <c r="S140" s="501"/>
      <c r="T140" s="440"/>
      <c r="U140" s="279"/>
      <c r="V140" s="440"/>
      <c r="W140" s="279"/>
      <c r="X140" s="781"/>
      <c r="Y140" s="782"/>
      <c r="Z140" s="782"/>
      <c r="AA140" s="783"/>
      <c r="AB140" s="189">
        <v>318</v>
      </c>
      <c r="AC140" s="59"/>
      <c r="AD140" s="59"/>
      <c r="AE140" s="59"/>
      <c r="AF140" s="59"/>
    </row>
    <row r="141" spans="1:33" ht="12.6" customHeight="1" x14ac:dyDescent="0.2">
      <c r="A141" s="18"/>
      <c r="B141" s="786" t="s">
        <v>322</v>
      </c>
      <c r="C141" s="787"/>
      <c r="D141" s="787"/>
      <c r="E141" s="787"/>
      <c r="F141" s="278">
        <v>1147</v>
      </c>
      <c r="G141" s="301">
        <f>+F141*$X$1</f>
        <v>1147</v>
      </c>
      <c r="H141" s="190" t="s">
        <v>171</v>
      </c>
      <c r="I141" s="192"/>
      <c r="J141" s="83"/>
      <c r="K141" s="83"/>
      <c r="L141" s="162"/>
      <c r="M141" s="83"/>
      <c r="N141" s="83"/>
      <c r="O141" s="83"/>
      <c r="P141" s="81">
        <v>80</v>
      </c>
      <c r="Q141" s="191">
        <f>+P141*$X$1</f>
        <v>80</v>
      </c>
      <c r="R141" s="496"/>
      <c r="S141" s="497"/>
      <c r="T141" s="70"/>
      <c r="U141" s="278"/>
      <c r="V141" s="494"/>
      <c r="W141" s="278"/>
      <c r="X141" s="781"/>
      <c r="Y141" s="782"/>
      <c r="Z141" s="782"/>
      <c r="AA141" s="783"/>
      <c r="AB141" s="400"/>
      <c r="AC141" s="822"/>
      <c r="AD141" s="823"/>
      <c r="AE141" s="823"/>
      <c r="AF141" s="823"/>
      <c r="AG141" s="4"/>
    </row>
    <row r="142" spans="1:33" ht="12.6" customHeight="1" x14ac:dyDescent="0.2">
      <c r="A142" s="18"/>
      <c r="B142" s="939" t="s">
        <v>323</v>
      </c>
      <c r="C142" s="940"/>
      <c r="D142" s="940"/>
      <c r="E142" s="940"/>
      <c r="F142" s="279">
        <v>1297</v>
      </c>
      <c r="G142" s="339">
        <f>+F142*$X$1</f>
        <v>1297</v>
      </c>
      <c r="H142" s="259" t="s">
        <v>171</v>
      </c>
      <c r="I142" s="260"/>
      <c r="J142" s="261"/>
      <c r="K142" s="261"/>
      <c r="L142" s="262"/>
      <c r="M142" s="261"/>
      <c r="N142" s="261"/>
      <c r="O142" s="261"/>
      <c r="P142" s="263">
        <v>80</v>
      </c>
      <c r="Q142" s="264">
        <f>+P142*$X$1</f>
        <v>80</v>
      </c>
      <c r="R142" s="504"/>
      <c r="S142" s="502"/>
      <c r="T142" s="503"/>
      <c r="U142" s="281"/>
      <c r="V142" s="93"/>
      <c r="W142" s="281"/>
      <c r="X142" s="781"/>
      <c r="Y142" s="782"/>
      <c r="Z142" s="782"/>
      <c r="AA142" s="783"/>
      <c r="AB142" s="400"/>
    </row>
    <row r="143" spans="1:33" ht="12.6" customHeight="1" x14ac:dyDescent="0.2">
      <c r="A143" s="18"/>
      <c r="B143" s="786" t="s">
        <v>823</v>
      </c>
      <c r="C143" s="787"/>
      <c r="D143" s="787"/>
      <c r="E143" s="787"/>
      <c r="F143" s="278"/>
      <c r="G143" s="278"/>
      <c r="H143" s="266"/>
      <c r="I143" s="278"/>
      <c r="J143" s="607">
        <f>F142+250</f>
        <v>1547</v>
      </c>
      <c r="K143" s="278">
        <f t="shared" ref="K143:K144" si="310">+J143*$X$1</f>
        <v>1547</v>
      </c>
      <c r="L143" s="607">
        <f>F142+200</f>
        <v>1497</v>
      </c>
      <c r="M143" s="278">
        <f>+L143*$X$1</f>
        <v>1497</v>
      </c>
      <c r="N143" s="607">
        <f>F142+160</f>
        <v>1457</v>
      </c>
      <c r="O143" s="278">
        <f>+N143*$X$1</f>
        <v>1457</v>
      </c>
      <c r="P143" s="607">
        <f>F142+140</f>
        <v>1437</v>
      </c>
      <c r="Q143" s="278">
        <f t="shared" ref="Q143:Q144" si="311">+P143*$X$1</f>
        <v>1437</v>
      </c>
      <c r="R143" s="607">
        <f>F142+120</f>
        <v>1417</v>
      </c>
      <c r="S143" s="278">
        <f>+R143*$X$1</f>
        <v>1417</v>
      </c>
      <c r="T143" s="607">
        <f>F142+105</f>
        <v>1402</v>
      </c>
      <c r="U143" s="278">
        <f t="shared" ref="U143:U144" si="312">+T143*$X$1</f>
        <v>1402</v>
      </c>
      <c r="V143" s="607">
        <f>F142+90</f>
        <v>1387</v>
      </c>
      <c r="W143" s="278">
        <f>+V143*$X$1</f>
        <v>1387</v>
      </c>
      <c r="X143" s="781"/>
      <c r="Y143" s="782"/>
      <c r="Z143" s="782"/>
      <c r="AA143" s="783"/>
      <c r="AB143" s="397">
        <v>321</v>
      </c>
    </row>
    <row r="144" spans="1:33" ht="12.6" customHeight="1" x14ac:dyDescent="0.2">
      <c r="A144" s="18"/>
      <c r="B144" s="939" t="s">
        <v>524</v>
      </c>
      <c r="C144" s="940"/>
      <c r="D144" s="940"/>
      <c r="E144" s="940"/>
      <c r="F144" s="279"/>
      <c r="G144" s="279"/>
      <c r="H144" s="288"/>
      <c r="I144" s="279"/>
      <c r="J144" s="440">
        <f>F142+350</f>
        <v>1647</v>
      </c>
      <c r="K144" s="279">
        <f t="shared" si="310"/>
        <v>1647</v>
      </c>
      <c r="L144" s="440">
        <f>F142+300</f>
        <v>1597</v>
      </c>
      <c r="M144" s="279">
        <f>+L144*$X$1</f>
        <v>1597</v>
      </c>
      <c r="N144" s="440">
        <f>F142+275</f>
        <v>1572</v>
      </c>
      <c r="O144" s="279">
        <f>+N144*$X$1</f>
        <v>1572</v>
      </c>
      <c r="P144" s="440">
        <f>F142+250</f>
        <v>1547</v>
      </c>
      <c r="Q144" s="279">
        <f t="shared" si="311"/>
        <v>1547</v>
      </c>
      <c r="R144" s="440">
        <f>F142+230</f>
        <v>1527</v>
      </c>
      <c r="S144" s="279">
        <f>+R144*$X$1</f>
        <v>1527</v>
      </c>
      <c r="T144" s="440">
        <f>F142+200</f>
        <v>1497</v>
      </c>
      <c r="U144" s="279">
        <f t="shared" si="312"/>
        <v>1497</v>
      </c>
      <c r="V144" s="440">
        <f>F142+170</f>
        <v>1467</v>
      </c>
      <c r="W144" s="279">
        <f>+V144*$X$1</f>
        <v>1467</v>
      </c>
      <c r="X144" s="781"/>
      <c r="Y144" s="782"/>
      <c r="Z144" s="782"/>
      <c r="AA144" s="783"/>
      <c r="AB144" s="397">
        <v>322</v>
      </c>
    </row>
    <row r="145" spans="1:34" ht="12.6" customHeight="1" x14ac:dyDescent="0.2">
      <c r="A145" s="18"/>
      <c r="B145" s="786" t="s">
        <v>324</v>
      </c>
      <c r="C145" s="787"/>
      <c r="D145" s="787"/>
      <c r="E145" s="787"/>
      <c r="F145" s="278">
        <v>1435</v>
      </c>
      <c r="G145" s="301">
        <f>+F145*$X$1</f>
        <v>1435</v>
      </c>
      <c r="H145" s="439" t="s">
        <v>171</v>
      </c>
      <c r="I145" s="619"/>
      <c r="J145" s="620"/>
      <c r="K145" s="620"/>
      <c r="L145" s="620"/>
      <c r="M145" s="620"/>
      <c r="N145" s="620"/>
      <c r="O145" s="620"/>
      <c r="P145" s="82">
        <v>110</v>
      </c>
      <c r="Q145" s="265">
        <f>+P145*$X$1</f>
        <v>110</v>
      </c>
      <c r="R145" s="307"/>
      <c r="S145" s="330"/>
      <c r="T145" s="621"/>
      <c r="U145" s="622"/>
      <c r="V145" s="84"/>
      <c r="W145" s="498"/>
      <c r="X145" s="781"/>
      <c r="Y145" s="782"/>
      <c r="Z145" s="782"/>
      <c r="AA145" s="783"/>
      <c r="AB145" s="400"/>
    </row>
    <row r="146" spans="1:34" ht="12.6" customHeight="1" x14ac:dyDescent="0.2">
      <c r="A146" s="18"/>
      <c r="B146" s="672" t="s">
        <v>172</v>
      </c>
      <c r="C146" s="673"/>
      <c r="D146" s="673"/>
      <c r="E146" s="673"/>
      <c r="F146" s="281">
        <v>1585</v>
      </c>
      <c r="G146" s="339">
        <f>+F146*$X$1</f>
        <v>1585</v>
      </c>
      <c r="H146" s="259" t="s">
        <v>171</v>
      </c>
      <c r="I146" s="623"/>
      <c r="J146" s="620"/>
      <c r="K146" s="620"/>
      <c r="L146" s="620"/>
      <c r="M146" s="620"/>
      <c r="N146" s="620"/>
      <c r="O146" s="620"/>
      <c r="P146" s="82">
        <v>110</v>
      </c>
      <c r="Q146" s="191">
        <f>+P146*$X$1</f>
        <v>110</v>
      </c>
      <c r="R146" s="277"/>
      <c r="S146" s="331"/>
      <c r="T146" s="624"/>
      <c r="U146" s="625"/>
      <c r="V146" s="87"/>
      <c r="W146" s="308"/>
      <c r="X146" s="781"/>
      <c r="Y146" s="782"/>
      <c r="Z146" s="782"/>
      <c r="AA146" s="783"/>
      <c r="AB146" s="400"/>
    </row>
    <row r="147" spans="1:34" ht="12.6" customHeight="1" x14ac:dyDescent="0.2">
      <c r="A147" s="18"/>
      <c r="B147" s="690" t="s">
        <v>822</v>
      </c>
      <c r="C147" s="691"/>
      <c r="D147" s="691"/>
      <c r="E147" s="691"/>
      <c r="F147" s="333"/>
      <c r="G147" s="333"/>
      <c r="H147" s="272"/>
      <c r="I147" s="330"/>
      <c r="J147" s="607">
        <f>F146+250</f>
        <v>1835</v>
      </c>
      <c r="K147" s="278">
        <f t="shared" ref="K147:K149" si="313">+J147*$X$1</f>
        <v>1835</v>
      </c>
      <c r="L147" s="607">
        <f>F146+200</f>
        <v>1785</v>
      </c>
      <c r="M147" s="278">
        <f>+L147*$X$1</f>
        <v>1785</v>
      </c>
      <c r="N147" s="607">
        <f>F146+160</f>
        <v>1745</v>
      </c>
      <c r="O147" s="278">
        <f>+N147*$X$1</f>
        <v>1745</v>
      </c>
      <c r="P147" s="607">
        <f>F146+140</f>
        <v>1725</v>
      </c>
      <c r="Q147" s="278">
        <f t="shared" ref="Q147:Q149" si="314">+P147*$X$1</f>
        <v>1725</v>
      </c>
      <c r="R147" s="607">
        <f>F146+120</f>
        <v>1705</v>
      </c>
      <c r="S147" s="278">
        <f>+R147*$X$1</f>
        <v>1705</v>
      </c>
      <c r="T147" s="607">
        <f>F146+105</f>
        <v>1690</v>
      </c>
      <c r="U147" s="278">
        <f t="shared" ref="U147:U149" si="315">+T147*$X$1</f>
        <v>1690</v>
      </c>
      <c r="V147" s="607">
        <f>F146+90</f>
        <v>1675</v>
      </c>
      <c r="W147" s="278">
        <f>+V147*$X$1</f>
        <v>1675</v>
      </c>
      <c r="X147" s="781"/>
      <c r="Y147" s="782"/>
      <c r="Z147" s="782"/>
      <c r="AA147" s="783"/>
      <c r="AB147" s="397">
        <v>325</v>
      </c>
    </row>
    <row r="148" spans="1:34" ht="12.6" customHeight="1" x14ac:dyDescent="0.2">
      <c r="A148" s="18"/>
      <c r="B148" s="672" t="s">
        <v>523</v>
      </c>
      <c r="C148" s="673"/>
      <c r="D148" s="673"/>
      <c r="E148" s="673"/>
      <c r="F148" s="332"/>
      <c r="G148" s="332"/>
      <c r="H148" s="271"/>
      <c r="I148" s="331"/>
      <c r="J148" s="440">
        <f>F146+350</f>
        <v>1935</v>
      </c>
      <c r="K148" s="279">
        <f t="shared" si="313"/>
        <v>1935</v>
      </c>
      <c r="L148" s="440">
        <f>F146+300</f>
        <v>1885</v>
      </c>
      <c r="M148" s="279">
        <f>+L148*$X$1</f>
        <v>1885</v>
      </c>
      <c r="N148" s="440">
        <f>F146+275</f>
        <v>1860</v>
      </c>
      <c r="O148" s="279">
        <f>+N148*$X$1</f>
        <v>1860</v>
      </c>
      <c r="P148" s="440">
        <f>F146+250</f>
        <v>1835</v>
      </c>
      <c r="Q148" s="279">
        <f t="shared" si="314"/>
        <v>1835</v>
      </c>
      <c r="R148" s="440">
        <f>F146+230</f>
        <v>1815</v>
      </c>
      <c r="S148" s="279">
        <f>+R148*$X$1</f>
        <v>1815</v>
      </c>
      <c r="T148" s="440">
        <f>F146+200</f>
        <v>1785</v>
      </c>
      <c r="U148" s="279">
        <f t="shared" si="315"/>
        <v>1785</v>
      </c>
      <c r="V148" s="440">
        <f>F146+170</f>
        <v>1755</v>
      </c>
      <c r="W148" s="279">
        <f>+V148*$X$1</f>
        <v>1755</v>
      </c>
      <c r="X148" s="781"/>
      <c r="Y148" s="782"/>
      <c r="Z148" s="782"/>
      <c r="AA148" s="783"/>
      <c r="AB148" s="397">
        <v>326</v>
      </c>
    </row>
    <row r="149" spans="1:34" ht="12.6" customHeight="1" x14ac:dyDescent="0.2">
      <c r="A149" s="18"/>
      <c r="B149" s="690" t="s">
        <v>344</v>
      </c>
      <c r="C149" s="691"/>
      <c r="D149" s="691"/>
      <c r="E149" s="691"/>
      <c r="F149" s="364">
        <f>8.3*X2</f>
        <v>9113.4000000000015</v>
      </c>
      <c r="G149" s="278">
        <f>+F149*$X$1</f>
        <v>9113.4000000000015</v>
      </c>
      <c r="H149" s="599">
        <f>F149+600</f>
        <v>9713.4000000000015</v>
      </c>
      <c r="I149" s="278">
        <f t="shared" ref="I149" si="316">+H149*$X$1</f>
        <v>9713.4000000000015</v>
      </c>
      <c r="J149" s="607">
        <f>F149+200</f>
        <v>9313.4000000000015</v>
      </c>
      <c r="K149" s="278">
        <f t="shared" si="313"/>
        <v>9313.4000000000015</v>
      </c>
      <c r="L149" s="607">
        <f>F149+150</f>
        <v>9263.4000000000015</v>
      </c>
      <c r="M149" s="278">
        <f t="shared" ref="M149" si="317">+L149*$X$1</f>
        <v>9263.4000000000015</v>
      </c>
      <c r="N149" s="607">
        <f>F149+100</f>
        <v>9213.4000000000015</v>
      </c>
      <c r="O149" s="278">
        <f>+N149*$X$1</f>
        <v>9213.4000000000015</v>
      </c>
      <c r="P149" s="607">
        <f>F149+90</f>
        <v>9203.4000000000015</v>
      </c>
      <c r="Q149" s="278">
        <f t="shared" si="314"/>
        <v>9203.4000000000015</v>
      </c>
      <c r="R149" s="607">
        <f>F149+70</f>
        <v>9183.4000000000015</v>
      </c>
      <c r="S149" s="278">
        <f>+R149*$X$1</f>
        <v>9183.4000000000015</v>
      </c>
      <c r="T149" s="607">
        <f>F149+56</f>
        <v>9169.4000000000015</v>
      </c>
      <c r="U149" s="278">
        <f t="shared" si="315"/>
        <v>9169.4000000000015</v>
      </c>
      <c r="V149" s="607">
        <f>F149+49</f>
        <v>9162.4000000000015</v>
      </c>
      <c r="W149" s="278">
        <f t="shared" ref="W149" si="318">+V149*$X$1</f>
        <v>9162.4000000000015</v>
      </c>
      <c r="X149" s="684"/>
      <c r="Y149" s="777"/>
      <c r="Z149" s="777"/>
      <c r="AA149" s="686"/>
      <c r="AB149" s="189">
        <v>332</v>
      </c>
    </row>
    <row r="150" spans="1:34" ht="12.6" customHeight="1" x14ac:dyDescent="0.2">
      <c r="A150" s="20"/>
      <c r="B150" s="1098" t="s">
        <v>173</v>
      </c>
      <c r="C150" s="1099"/>
      <c r="D150" s="1099"/>
      <c r="E150" s="1099"/>
      <c r="F150" s="279">
        <v>530</v>
      </c>
      <c r="G150" s="279">
        <f t="shared" ref="G150" si="319">+F150*$X$1</f>
        <v>530</v>
      </c>
      <c r="H150" s="545"/>
      <c r="I150" s="613"/>
      <c r="J150" s="440">
        <f>F150+400</f>
        <v>930</v>
      </c>
      <c r="K150" s="279">
        <f t="shared" ref="K150" si="320">+J150*$X$1</f>
        <v>930</v>
      </c>
      <c r="L150" s="440">
        <f>F150+360</f>
        <v>890</v>
      </c>
      <c r="M150" s="279">
        <f>+L150*$X$1</f>
        <v>890</v>
      </c>
      <c r="N150" s="440">
        <f>F150+340</f>
        <v>870</v>
      </c>
      <c r="O150" s="279">
        <f>+N150*$X$1</f>
        <v>870</v>
      </c>
      <c r="P150" s="440">
        <f>F150+300</f>
        <v>830</v>
      </c>
      <c r="Q150" s="279">
        <f t="shared" ref="Q150" si="321">+P150*$X$1</f>
        <v>830</v>
      </c>
      <c r="R150" s="440">
        <f>F150+260</f>
        <v>790</v>
      </c>
      <c r="S150" s="279">
        <f>+R150*$X$1</f>
        <v>790</v>
      </c>
      <c r="T150" s="440">
        <f>F150+230</f>
        <v>760</v>
      </c>
      <c r="U150" s="279">
        <f t="shared" ref="U150" si="322">+T150*$X$1</f>
        <v>760</v>
      </c>
      <c r="V150" s="440">
        <f>F150+190</f>
        <v>720</v>
      </c>
      <c r="W150" s="279">
        <f>+V150*$X$1</f>
        <v>720</v>
      </c>
      <c r="X150" s="144"/>
      <c r="Y150" s="144"/>
      <c r="Z150" s="144"/>
      <c r="AA150" s="144"/>
      <c r="AB150" s="189">
        <v>347</v>
      </c>
    </row>
    <row r="151" spans="1:34" ht="12.6" customHeight="1" x14ac:dyDescent="0.2">
      <c r="A151" s="20"/>
      <c r="B151" s="690" t="s">
        <v>613</v>
      </c>
      <c r="C151" s="691"/>
      <c r="D151" s="691"/>
      <c r="E151" s="691"/>
      <c r="F151" s="287"/>
      <c r="G151" s="546"/>
      <c r="H151" s="547"/>
      <c r="I151" s="607"/>
      <c r="J151" s="607"/>
      <c r="K151" s="607"/>
      <c r="L151" s="272"/>
      <c r="M151" s="272"/>
      <c r="N151" s="606"/>
      <c r="O151" s="607"/>
      <c r="P151" s="272"/>
      <c r="Q151" s="272"/>
      <c r="R151" s="607"/>
      <c r="S151" s="607"/>
      <c r="T151" s="607"/>
      <c r="U151" s="94"/>
      <c r="V151" s="607"/>
      <c r="W151" s="94"/>
      <c r="X151" s="144"/>
      <c r="Y151" s="144"/>
      <c r="Z151" s="144"/>
      <c r="AA151" s="144"/>
      <c r="AB151" s="189">
        <v>348</v>
      </c>
    </row>
    <row r="152" spans="1:34" ht="12.6" customHeight="1" x14ac:dyDescent="0.2">
      <c r="A152" s="20"/>
      <c r="B152" s="672" t="s">
        <v>174</v>
      </c>
      <c r="C152" s="673"/>
      <c r="D152" s="673"/>
      <c r="E152" s="673"/>
      <c r="F152" s="286"/>
      <c r="G152" s="548"/>
      <c r="H152" s="440"/>
      <c r="I152" s="440"/>
      <c r="J152" s="440"/>
      <c r="K152" s="440"/>
      <c r="L152" s="271"/>
      <c r="M152" s="271"/>
      <c r="N152" s="611"/>
      <c r="O152" s="440"/>
      <c r="P152" s="271"/>
      <c r="Q152" s="271"/>
      <c r="R152" s="440"/>
      <c r="S152" s="440"/>
      <c r="T152" s="440"/>
      <c r="U152" s="92"/>
      <c r="V152" s="440"/>
      <c r="W152" s="92"/>
      <c r="X152" s="144"/>
      <c r="Y152" s="144"/>
      <c r="Z152" s="144"/>
      <c r="AA152" s="144"/>
      <c r="AB152" s="189">
        <v>349</v>
      </c>
    </row>
    <row r="153" spans="1:34" ht="12.6" customHeight="1" x14ac:dyDescent="0.2">
      <c r="A153" s="20"/>
      <c r="B153" s="690" t="s">
        <v>175</v>
      </c>
      <c r="C153" s="691"/>
      <c r="D153" s="691"/>
      <c r="E153" s="691"/>
      <c r="F153" s="287"/>
      <c r="G153" s="546"/>
      <c r="H153" s="547"/>
      <c r="I153" s="607"/>
      <c r="J153" s="607"/>
      <c r="K153" s="607"/>
      <c r="L153" s="272"/>
      <c r="M153" s="272"/>
      <c r="N153" s="606"/>
      <c r="O153" s="607"/>
      <c r="P153" s="272"/>
      <c r="Q153" s="272"/>
      <c r="R153" s="607"/>
      <c r="S153" s="607"/>
      <c r="T153" s="607"/>
      <c r="U153" s="94"/>
      <c r="V153" s="607"/>
      <c r="W153" s="94"/>
      <c r="X153" s="144"/>
      <c r="Y153" s="144"/>
      <c r="Z153" s="144"/>
      <c r="AA153" s="144"/>
      <c r="AB153" s="189">
        <v>350</v>
      </c>
    </row>
    <row r="154" spans="1:34" ht="12.6" customHeight="1" x14ac:dyDescent="0.2">
      <c r="A154" s="20"/>
      <c r="B154" s="672" t="s">
        <v>176</v>
      </c>
      <c r="C154" s="673"/>
      <c r="D154" s="673"/>
      <c r="E154" s="673"/>
      <c r="F154" s="286"/>
      <c r="G154" s="548"/>
      <c r="H154" s="440"/>
      <c r="I154" s="440"/>
      <c r="J154" s="440"/>
      <c r="K154" s="440"/>
      <c r="L154" s="271"/>
      <c r="M154" s="271"/>
      <c r="N154" s="611"/>
      <c r="O154" s="440"/>
      <c r="P154" s="271"/>
      <c r="Q154" s="271"/>
      <c r="R154" s="440"/>
      <c r="S154" s="440"/>
      <c r="T154" s="440"/>
      <c r="U154" s="92"/>
      <c r="V154" s="440"/>
      <c r="W154" s="92"/>
      <c r="X154" s="144"/>
      <c r="Y154" s="144"/>
      <c r="Z154" s="144"/>
      <c r="AA154" s="144"/>
      <c r="AB154" s="189">
        <v>351</v>
      </c>
    </row>
    <row r="155" spans="1:34" ht="12.6" customHeight="1" x14ac:dyDescent="0.2">
      <c r="A155" s="20"/>
      <c r="B155" s="690" t="s">
        <v>177</v>
      </c>
      <c r="C155" s="691"/>
      <c r="D155" s="691"/>
      <c r="E155" s="691"/>
      <c r="F155" s="287"/>
      <c r="G155" s="546"/>
      <c r="H155" s="547"/>
      <c r="I155" s="607"/>
      <c r="J155" s="607"/>
      <c r="K155" s="607"/>
      <c r="L155" s="272"/>
      <c r="M155" s="272"/>
      <c r="N155" s="100"/>
      <c r="O155" s="607"/>
      <c r="P155" s="272"/>
      <c r="Q155" s="272"/>
      <c r="R155" s="607"/>
      <c r="S155" s="607"/>
      <c r="T155" s="100"/>
      <c r="U155" s="558"/>
      <c r="V155" s="100"/>
      <c r="W155" s="558"/>
      <c r="X155" s="144"/>
      <c r="Y155" s="144"/>
      <c r="Z155" s="144"/>
      <c r="AA155" s="144"/>
      <c r="AB155" s="189">
        <v>352</v>
      </c>
    </row>
    <row r="156" spans="1:34" ht="12.75" customHeight="1" x14ac:dyDescent="0.2">
      <c r="A156" s="18"/>
      <c r="B156" s="3"/>
      <c r="C156" s="3"/>
      <c r="D156" s="3"/>
      <c r="E156" s="3"/>
      <c r="F156" s="125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8"/>
      <c r="B157" s="3"/>
      <c r="C157" s="3"/>
      <c r="D157" s="3"/>
      <c r="E157" s="64"/>
      <c r="F157" s="125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2.75" customHeight="1" x14ac:dyDescent="0.2">
      <c r="A158" s="18"/>
      <c r="B158" s="3"/>
      <c r="C158" s="3"/>
      <c r="D158" s="3"/>
      <c r="E158" s="3"/>
      <c r="F158" s="96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7"/>
      <c r="W158" s="7"/>
      <c r="Y158" s="4"/>
      <c r="Z158" s="4"/>
      <c r="AA158" s="4"/>
      <c r="AB158" s="4"/>
      <c r="AC158" s="4"/>
      <c r="AD158" s="4"/>
    </row>
    <row r="159" spans="1:34" ht="14.25" customHeight="1" x14ac:dyDescent="0.2">
      <c r="A159" s="18"/>
      <c r="B159" s="654" t="s">
        <v>11</v>
      </c>
      <c r="C159" s="925" t="s">
        <v>12</v>
      </c>
      <c r="D159" s="926"/>
      <c r="E159" s="926"/>
      <c r="F159" s="764" t="s">
        <v>13</v>
      </c>
      <c r="G159" s="764" t="s">
        <v>13</v>
      </c>
      <c r="H159" s="657" t="s">
        <v>790</v>
      </c>
      <c r="I159" s="657"/>
      <c r="J159" s="658"/>
      <c r="K159" s="658"/>
      <c r="L159" s="658"/>
      <c r="M159" s="658"/>
      <c r="N159" s="658"/>
      <c r="O159" s="658"/>
      <c r="P159" s="658"/>
      <c r="Q159" s="658"/>
      <c r="R159" s="658"/>
      <c r="S159" s="658"/>
      <c r="T159" s="658"/>
      <c r="U159" s="658"/>
      <c r="V159" s="658"/>
      <c r="W159" s="658"/>
      <c r="X159" s="678" t="s">
        <v>14</v>
      </c>
      <c r="Y159" s="679"/>
      <c r="Z159" s="679"/>
      <c r="AA159" s="680"/>
      <c r="AB159" s="676" t="s">
        <v>15</v>
      </c>
      <c r="AF159" s="674" t="s">
        <v>3</v>
      </c>
      <c r="AG159" s="675"/>
      <c r="AH159" s="675"/>
    </row>
    <row r="160" spans="1:34" ht="12.6" customHeight="1" x14ac:dyDescent="0.2">
      <c r="A160" s="18"/>
      <c r="B160" s="654"/>
      <c r="C160" s="926"/>
      <c r="D160" s="926"/>
      <c r="E160" s="926"/>
      <c r="F160" s="765"/>
      <c r="G160" s="765"/>
      <c r="H160" s="453"/>
      <c r="I160" s="451" t="s">
        <v>285</v>
      </c>
      <c r="J160" s="453"/>
      <c r="K160" s="451" t="s">
        <v>17</v>
      </c>
      <c r="L160" s="454"/>
      <c r="M160" s="454" t="s">
        <v>18</v>
      </c>
      <c r="N160" s="454"/>
      <c r="O160" s="451" t="s">
        <v>19</v>
      </c>
      <c r="P160" s="454"/>
      <c r="Q160" s="454" t="s">
        <v>286</v>
      </c>
      <c r="R160" s="454"/>
      <c r="S160" s="454" t="s">
        <v>20</v>
      </c>
      <c r="T160" s="454"/>
      <c r="U160" s="454" t="s">
        <v>21</v>
      </c>
      <c r="V160" s="454"/>
      <c r="W160" s="454" t="s">
        <v>22</v>
      </c>
      <c r="X160" s="681"/>
      <c r="Y160" s="682"/>
      <c r="Z160" s="682"/>
      <c r="AA160" s="683"/>
      <c r="AB160" s="677"/>
      <c r="AG160" s="33"/>
    </row>
    <row r="161" spans="1:38" ht="12.6" customHeight="1" x14ac:dyDescent="0.2">
      <c r="A161" s="20"/>
      <c r="B161" s="748" t="s">
        <v>361</v>
      </c>
      <c r="C161" s="772"/>
      <c r="D161" s="772"/>
      <c r="E161" s="773"/>
      <c r="F161" s="368">
        <f>0.65*X2</f>
        <v>713.7</v>
      </c>
      <c r="G161" s="294">
        <f t="shared" ref="G161" si="323">+F161*$X$1</f>
        <v>713.7</v>
      </c>
      <c r="H161" s="97"/>
      <c r="I161" s="279"/>
      <c r="J161" s="87"/>
      <c r="K161" s="279"/>
      <c r="L161" s="440">
        <f t="shared" ref="L161" si="324">F161+150</f>
        <v>863.7</v>
      </c>
      <c r="M161" s="279">
        <f t="shared" ref="M161" si="325">+L161*$X$1</f>
        <v>863.7</v>
      </c>
      <c r="N161" s="440">
        <f t="shared" ref="N161" si="326">F161+110</f>
        <v>823.7</v>
      </c>
      <c r="O161" s="279">
        <f t="shared" ref="O161" si="327">+N161*$X$1</f>
        <v>823.7</v>
      </c>
      <c r="P161" s="440">
        <f t="shared" ref="P161" si="328">F161+100</f>
        <v>813.7</v>
      </c>
      <c r="Q161" s="279">
        <f t="shared" ref="Q161" si="329">+P161*$X$1</f>
        <v>813.7</v>
      </c>
      <c r="R161" s="440">
        <f t="shared" ref="R161" si="330">F161+80</f>
        <v>793.7</v>
      </c>
      <c r="S161" s="279">
        <f t="shared" ref="S161" si="331">+R161*$X$1</f>
        <v>793.7</v>
      </c>
      <c r="T161" s="440">
        <f t="shared" ref="T161" si="332">F161+65</f>
        <v>778.7</v>
      </c>
      <c r="U161" s="279">
        <f t="shared" ref="U161" si="333">+T161*$X$1</f>
        <v>778.7</v>
      </c>
      <c r="V161" s="440">
        <f t="shared" ref="V161" si="334">F161+56</f>
        <v>769.7</v>
      </c>
      <c r="W161" s="279">
        <f t="shared" ref="W161" si="335">+V161*$X$1</f>
        <v>769.7</v>
      </c>
      <c r="X161" s="668"/>
      <c r="Y161" s="669"/>
      <c r="Z161" s="669"/>
      <c r="AA161" s="670"/>
      <c r="AB161" s="189">
        <v>370</v>
      </c>
    </row>
    <row r="162" spans="1:38" ht="12.6" customHeight="1" x14ac:dyDescent="0.2">
      <c r="A162" s="20"/>
      <c r="B162" s="768" t="s">
        <v>527</v>
      </c>
      <c r="C162" s="769"/>
      <c r="D162" s="769"/>
      <c r="E162" s="770"/>
      <c r="F162" s="295">
        <v>1094</v>
      </c>
      <c r="G162" s="251">
        <f t="shared" ref="G162" si="336">+F162*$X$1</f>
        <v>1094</v>
      </c>
      <c r="H162" s="374"/>
      <c r="I162" s="278"/>
      <c r="J162" s="70">
        <f>F162+200</f>
        <v>1294</v>
      </c>
      <c r="K162" s="278">
        <f t="shared" ref="K162" si="337">+J162*$X$1</f>
        <v>1294</v>
      </c>
      <c r="L162" s="607">
        <f t="shared" ref="L162" si="338">F162+150</f>
        <v>1244</v>
      </c>
      <c r="M162" s="278">
        <f t="shared" ref="M162" si="339">+L162*$X$1</f>
        <v>1244</v>
      </c>
      <c r="N162" s="607">
        <f t="shared" ref="N162" si="340">F162+110</f>
        <v>1204</v>
      </c>
      <c r="O162" s="278">
        <f t="shared" ref="O162" si="341">+N162*$X$1</f>
        <v>1204</v>
      </c>
      <c r="P162" s="607">
        <f t="shared" ref="P162" si="342">F162+100</f>
        <v>1194</v>
      </c>
      <c r="Q162" s="278">
        <f t="shared" ref="Q162" si="343">+P162*$X$1</f>
        <v>1194</v>
      </c>
      <c r="R162" s="607">
        <f t="shared" ref="R162" si="344">F162+80</f>
        <v>1174</v>
      </c>
      <c r="S162" s="278">
        <f t="shared" ref="S162" si="345">+R162*$X$1</f>
        <v>1174</v>
      </c>
      <c r="T162" s="607">
        <f t="shared" ref="T162" si="346">F162+65</f>
        <v>1159</v>
      </c>
      <c r="U162" s="278">
        <f t="shared" ref="U162" si="347">+T162*$X$1</f>
        <v>1159</v>
      </c>
      <c r="V162" s="607">
        <f t="shared" ref="V162" si="348">F162+56</f>
        <v>1150</v>
      </c>
      <c r="W162" s="278">
        <f t="shared" ref="W162" si="349">+V162*$X$1</f>
        <v>1150</v>
      </c>
      <c r="X162" s="668"/>
      <c r="Y162" s="669"/>
      <c r="Z162" s="669"/>
      <c r="AA162" s="670"/>
      <c r="AB162" s="386">
        <v>373</v>
      </c>
    </row>
    <row r="163" spans="1:38" ht="12.6" customHeight="1" x14ac:dyDescent="0.2">
      <c r="A163" s="20"/>
      <c r="B163" s="748" t="s">
        <v>178</v>
      </c>
      <c r="C163" s="772"/>
      <c r="D163" s="772"/>
      <c r="E163" s="773"/>
      <c r="F163" s="365">
        <f>1.36*X2</f>
        <v>1493.2800000000002</v>
      </c>
      <c r="G163" s="294">
        <f>+F163*$X$1</f>
        <v>1493.2800000000002</v>
      </c>
      <c r="H163" s="97"/>
      <c r="I163" s="279"/>
      <c r="J163" s="87">
        <f>F163+200</f>
        <v>1693.2800000000002</v>
      </c>
      <c r="K163" s="279">
        <f t="shared" ref="K163:K164" si="350">+J163*$X$1</f>
        <v>1693.2800000000002</v>
      </c>
      <c r="L163" s="440">
        <f t="shared" ref="L163" si="351">F163+150</f>
        <v>1643.2800000000002</v>
      </c>
      <c r="M163" s="279">
        <f t="shared" ref="M163:M164" si="352">+L163*$X$1</f>
        <v>1643.2800000000002</v>
      </c>
      <c r="N163" s="440">
        <f t="shared" ref="N163" si="353">F163+110</f>
        <v>1603.2800000000002</v>
      </c>
      <c r="O163" s="279">
        <f t="shared" ref="O163" si="354">+N163*$X$1</f>
        <v>1603.2800000000002</v>
      </c>
      <c r="P163" s="440">
        <f t="shared" ref="P163" si="355">F163+100</f>
        <v>1593.2800000000002</v>
      </c>
      <c r="Q163" s="279">
        <f t="shared" ref="Q163:Q164" si="356">+P163*$X$1</f>
        <v>1593.2800000000002</v>
      </c>
      <c r="R163" s="440">
        <f t="shared" ref="R163" si="357">F163+80</f>
        <v>1573.2800000000002</v>
      </c>
      <c r="S163" s="279">
        <f t="shared" ref="S163" si="358">+R163*$X$1</f>
        <v>1573.2800000000002</v>
      </c>
      <c r="T163" s="440">
        <f t="shared" ref="T163" si="359">F163+65</f>
        <v>1558.2800000000002</v>
      </c>
      <c r="U163" s="279">
        <f t="shared" ref="U163:U164" si="360">+T163*$X$1</f>
        <v>1558.2800000000002</v>
      </c>
      <c r="V163" s="440">
        <f t="shared" ref="V163" si="361">F163+56</f>
        <v>1549.2800000000002</v>
      </c>
      <c r="W163" s="279">
        <f t="shared" ref="W163:W164" si="362">+V163*$X$1</f>
        <v>1549.2800000000002</v>
      </c>
      <c r="X163" s="668"/>
      <c r="Y163" s="669"/>
      <c r="Z163" s="669"/>
      <c r="AA163" s="670"/>
      <c r="AB163" s="189">
        <v>375</v>
      </c>
    </row>
    <row r="164" spans="1:38" ht="12.6" customHeight="1" x14ac:dyDescent="0.2">
      <c r="A164" s="20"/>
      <c r="B164" s="733" t="s">
        <v>179</v>
      </c>
      <c r="C164" s="734"/>
      <c r="D164" s="734"/>
      <c r="E164" s="735"/>
      <c r="F164" s="364">
        <f>4.67*X2</f>
        <v>5127.66</v>
      </c>
      <c r="G164" s="251">
        <f>+F164*$X$1</f>
        <v>5127.66</v>
      </c>
      <c r="H164" s="547">
        <f>F164+600</f>
        <v>5727.66</v>
      </c>
      <c r="I164" s="278">
        <f t="shared" ref="I164" si="363">+H164*$X$1</f>
        <v>5727.66</v>
      </c>
      <c r="J164" s="607">
        <f>F164+200</f>
        <v>5327.66</v>
      </c>
      <c r="K164" s="278">
        <f t="shared" si="350"/>
        <v>5327.66</v>
      </c>
      <c r="L164" s="607">
        <f>F164+150</f>
        <v>5277.66</v>
      </c>
      <c r="M164" s="278">
        <f t="shared" si="352"/>
        <v>5277.66</v>
      </c>
      <c r="N164" s="607">
        <f>F164+100</f>
        <v>5227.66</v>
      </c>
      <c r="O164" s="278">
        <f>+N164*$X$1</f>
        <v>5227.66</v>
      </c>
      <c r="P164" s="607">
        <f>F164+90</f>
        <v>5217.66</v>
      </c>
      <c r="Q164" s="278">
        <f t="shared" si="356"/>
        <v>5217.66</v>
      </c>
      <c r="R164" s="607">
        <f>F164+70</f>
        <v>5197.66</v>
      </c>
      <c r="S164" s="278">
        <f>+R164*$X$1</f>
        <v>5197.66</v>
      </c>
      <c r="T164" s="607">
        <f>F164+56</f>
        <v>5183.66</v>
      </c>
      <c r="U164" s="278">
        <f t="shared" si="360"/>
        <v>5183.66</v>
      </c>
      <c r="V164" s="607">
        <f>F164+49</f>
        <v>5176.66</v>
      </c>
      <c r="W164" s="278">
        <f t="shared" si="362"/>
        <v>5176.66</v>
      </c>
      <c r="X164" s="684"/>
      <c r="Y164" s="777"/>
      <c r="Z164" s="777"/>
      <c r="AA164" s="686"/>
      <c r="AB164" s="189">
        <v>376</v>
      </c>
    </row>
    <row r="165" spans="1:38" ht="12.6" customHeight="1" x14ac:dyDescent="0.2">
      <c r="A165" s="20"/>
      <c r="B165" s="748" t="s">
        <v>180</v>
      </c>
      <c r="C165" s="772"/>
      <c r="D165" s="772"/>
      <c r="E165" s="773"/>
      <c r="F165" s="365">
        <f>3.56*X2</f>
        <v>3908.88</v>
      </c>
      <c r="G165" s="294">
        <f>+F165*$X$1</f>
        <v>3908.88</v>
      </c>
      <c r="H165" s="277"/>
      <c r="I165" s="331"/>
      <c r="J165" s="87">
        <f>F165+200</f>
        <v>4108.88</v>
      </c>
      <c r="K165" s="279">
        <f t="shared" ref="K165:K166" si="364">+J165*$X$1</f>
        <v>4108.88</v>
      </c>
      <c r="L165" s="440">
        <f t="shared" ref="L165" si="365">F165+150</f>
        <v>4058.88</v>
      </c>
      <c r="M165" s="279">
        <f t="shared" ref="M165:M166" si="366">+L165*$X$1</f>
        <v>4058.88</v>
      </c>
      <c r="N165" s="440">
        <f t="shared" ref="N165" si="367">F165+110</f>
        <v>4018.88</v>
      </c>
      <c r="O165" s="279">
        <f t="shared" ref="O165:O166" si="368">+N165*$X$1</f>
        <v>4018.88</v>
      </c>
      <c r="P165" s="440"/>
      <c r="Q165" s="279"/>
      <c r="R165" s="440"/>
      <c r="S165" s="279"/>
      <c r="T165" s="99"/>
      <c r="U165" s="294"/>
      <c r="V165" s="99"/>
      <c r="W165" s="294"/>
      <c r="X165" s="668"/>
      <c r="Y165" s="669"/>
      <c r="Z165" s="669"/>
      <c r="AA165" s="670"/>
      <c r="AB165" s="189">
        <v>379</v>
      </c>
    </row>
    <row r="166" spans="1:38" s="1" customFormat="1" ht="12.6" customHeight="1" x14ac:dyDescent="0.2">
      <c r="A166" s="19"/>
      <c r="B166" s="760" t="s">
        <v>926</v>
      </c>
      <c r="C166" s="761"/>
      <c r="D166" s="761"/>
      <c r="E166" s="762"/>
      <c r="F166" s="505">
        <f>4.27*X2</f>
        <v>4688.4599999999991</v>
      </c>
      <c r="G166" s="278">
        <f t="shared" ref="G166" si="369">+F166*$X$1</f>
        <v>4688.4599999999991</v>
      </c>
      <c r="H166" s="70">
        <f t="shared" ref="H166:H181" si="370">F166+600</f>
        <v>5288.4599999999991</v>
      </c>
      <c r="I166" s="278">
        <f t="shared" ref="I166" si="371">+H166*$X$1</f>
        <v>5288.4599999999991</v>
      </c>
      <c r="J166" s="607">
        <f>F166+220</f>
        <v>4908.4599999999991</v>
      </c>
      <c r="K166" s="278">
        <f t="shared" si="364"/>
        <v>4908.4599999999991</v>
      </c>
      <c r="L166" s="607">
        <f>F166+170</f>
        <v>4858.4599999999991</v>
      </c>
      <c r="M166" s="278">
        <f t="shared" si="366"/>
        <v>4858.4599999999991</v>
      </c>
      <c r="N166" s="607">
        <f>F166+120</f>
        <v>4808.4599999999991</v>
      </c>
      <c r="O166" s="278">
        <f t="shared" si="368"/>
        <v>4808.4599999999991</v>
      </c>
      <c r="P166" s="607">
        <f>F166+110</f>
        <v>4798.4599999999991</v>
      </c>
      <c r="Q166" s="278">
        <f t="shared" ref="Q166" si="372">+P166*$X$1</f>
        <v>4798.4599999999991</v>
      </c>
      <c r="R166" s="607">
        <f>F166+95</f>
        <v>4783.4599999999991</v>
      </c>
      <c r="S166" s="278">
        <f t="shared" ref="S166" si="373">+R166*$X$1</f>
        <v>4783.4599999999991</v>
      </c>
      <c r="T166" s="607">
        <f>F166+85</f>
        <v>4773.4599999999991</v>
      </c>
      <c r="U166" s="278">
        <f t="shared" ref="U166" si="374">+T166*$X$1</f>
        <v>4773.4599999999991</v>
      </c>
      <c r="V166" s="607">
        <f>F166+76</f>
        <v>4764.4599999999991</v>
      </c>
      <c r="W166" s="278">
        <f t="shared" ref="W166:W169" si="375">+V166*$X$1</f>
        <v>4764.4599999999991</v>
      </c>
      <c r="X166" s="575"/>
      <c r="Y166" s="576"/>
      <c r="Z166" s="576"/>
      <c r="AA166" s="577"/>
      <c r="AB166" s="189">
        <v>380</v>
      </c>
      <c r="AC166" s="4"/>
      <c r="AD166" s="4"/>
      <c r="AE166" s="4"/>
      <c r="AF166" s="4"/>
      <c r="AG166" s="4"/>
      <c r="AH166" s="125"/>
      <c r="AI166" s="4"/>
      <c r="AJ166" s="4"/>
      <c r="AK166" s="4"/>
      <c r="AL166" s="4"/>
    </row>
    <row r="167" spans="1:38" ht="12.6" customHeight="1" x14ac:dyDescent="0.2">
      <c r="A167" s="101"/>
      <c r="B167" s="760" t="s">
        <v>923</v>
      </c>
      <c r="C167" s="761"/>
      <c r="D167" s="761"/>
      <c r="E167" s="762"/>
      <c r="F167" s="365">
        <f>2.66*X2</f>
        <v>2920.6800000000003</v>
      </c>
      <c r="G167" s="279">
        <f t="shared" ref="G167" si="376">+F167*$X$1</f>
        <v>2920.6800000000003</v>
      </c>
      <c r="H167" s="440">
        <f t="shared" si="370"/>
        <v>3520.6800000000003</v>
      </c>
      <c r="I167" s="279">
        <f t="shared" ref="I167:I169" si="377">+H167*$X$1</f>
        <v>3520.6800000000003</v>
      </c>
      <c r="J167" s="87">
        <f t="shared" ref="J167:J176" si="378">F167+200</f>
        <v>3120.6800000000003</v>
      </c>
      <c r="K167" s="279">
        <f t="shared" ref="K167:K169" si="379">+J167*$X$1</f>
        <v>3120.6800000000003</v>
      </c>
      <c r="L167" s="440">
        <f t="shared" ref="L167:L169" si="380">F167+150</f>
        <v>3070.6800000000003</v>
      </c>
      <c r="M167" s="279">
        <f t="shared" ref="M167:M169" si="381">+L167*$X$1</f>
        <v>3070.6800000000003</v>
      </c>
      <c r="N167" s="440">
        <f t="shared" ref="N167:N169" si="382">F167+110</f>
        <v>3030.6800000000003</v>
      </c>
      <c r="O167" s="279">
        <f t="shared" ref="O167:O169" si="383">+N167*$X$1</f>
        <v>3030.6800000000003</v>
      </c>
      <c r="P167" s="440">
        <f t="shared" ref="P167:P169" si="384">F167+100</f>
        <v>3020.6800000000003</v>
      </c>
      <c r="Q167" s="279">
        <f t="shared" ref="Q167:Q169" si="385">+P167*$X$1</f>
        <v>3020.6800000000003</v>
      </c>
      <c r="R167" s="440">
        <f t="shared" ref="R167:R169" si="386">F167+80</f>
        <v>3000.6800000000003</v>
      </c>
      <c r="S167" s="279">
        <f t="shared" ref="S167:S169" si="387">+R167*$X$1</f>
        <v>3000.6800000000003</v>
      </c>
      <c r="T167" s="440">
        <f t="shared" ref="T167:T169" si="388">F167+65</f>
        <v>2985.6800000000003</v>
      </c>
      <c r="U167" s="279">
        <f t="shared" ref="U167:U169" si="389">+T167*$X$1</f>
        <v>2985.6800000000003</v>
      </c>
      <c r="V167" s="440">
        <f t="shared" ref="V167:V169" si="390">F167+56</f>
        <v>2976.6800000000003</v>
      </c>
      <c r="W167" s="279">
        <f t="shared" si="375"/>
        <v>2976.6800000000003</v>
      </c>
      <c r="X167" s="668"/>
      <c r="Y167" s="669"/>
      <c r="Z167" s="669"/>
      <c r="AA167" s="670"/>
      <c r="AB167" s="189">
        <v>381</v>
      </c>
    </row>
    <row r="168" spans="1:38" ht="12.6" customHeight="1" x14ac:dyDescent="0.2">
      <c r="A168" s="101"/>
      <c r="B168" s="733" t="s">
        <v>380</v>
      </c>
      <c r="C168" s="734"/>
      <c r="D168" s="734"/>
      <c r="E168" s="735"/>
      <c r="F168" s="364">
        <f>1.87*X2</f>
        <v>2053.2600000000002</v>
      </c>
      <c r="G168" s="251">
        <f t="shared" ref="G168:G171" si="391">+F168*$X$1</f>
        <v>2053.2600000000002</v>
      </c>
      <c r="H168" s="440">
        <f t="shared" si="370"/>
        <v>2653.26</v>
      </c>
      <c r="I168" s="278">
        <f t="shared" si="377"/>
        <v>2653.26</v>
      </c>
      <c r="J168" s="70">
        <f t="shared" si="378"/>
        <v>2253.2600000000002</v>
      </c>
      <c r="K168" s="278">
        <f t="shared" si="379"/>
        <v>2253.2600000000002</v>
      </c>
      <c r="L168" s="607">
        <f t="shared" si="380"/>
        <v>2203.2600000000002</v>
      </c>
      <c r="M168" s="278">
        <f t="shared" si="381"/>
        <v>2203.2600000000002</v>
      </c>
      <c r="N168" s="607">
        <f t="shared" si="382"/>
        <v>2163.2600000000002</v>
      </c>
      <c r="O168" s="278">
        <f t="shared" si="383"/>
        <v>2163.2600000000002</v>
      </c>
      <c r="P168" s="607">
        <f t="shared" si="384"/>
        <v>2153.2600000000002</v>
      </c>
      <c r="Q168" s="278">
        <f t="shared" si="385"/>
        <v>2153.2600000000002</v>
      </c>
      <c r="R168" s="607">
        <f t="shared" si="386"/>
        <v>2133.2600000000002</v>
      </c>
      <c r="S168" s="278">
        <f t="shared" si="387"/>
        <v>2133.2600000000002</v>
      </c>
      <c r="T168" s="607">
        <f t="shared" si="388"/>
        <v>2118.2600000000002</v>
      </c>
      <c r="U168" s="278">
        <f t="shared" si="389"/>
        <v>2118.2600000000002</v>
      </c>
      <c r="V168" s="607">
        <f t="shared" si="390"/>
        <v>2109.2600000000002</v>
      </c>
      <c r="W168" s="278">
        <f t="shared" si="375"/>
        <v>2109.2600000000002</v>
      </c>
      <c r="X168" s="668"/>
      <c r="Y168" s="669"/>
      <c r="Z168" s="669"/>
      <c r="AA168" s="670"/>
      <c r="AB168" s="189">
        <v>382</v>
      </c>
    </row>
    <row r="169" spans="1:38" ht="12.6" customHeight="1" x14ac:dyDescent="0.2">
      <c r="A169" s="101"/>
      <c r="B169" s="760" t="s">
        <v>932</v>
      </c>
      <c r="C169" s="761"/>
      <c r="D169" s="761"/>
      <c r="E169" s="762"/>
      <c r="F169" s="365">
        <f>33.35*X2</f>
        <v>36618.300000000003</v>
      </c>
      <c r="G169" s="279">
        <f t="shared" si="391"/>
        <v>36618.300000000003</v>
      </c>
      <c r="H169" s="440">
        <f t="shared" si="370"/>
        <v>37218.300000000003</v>
      </c>
      <c r="I169" s="279">
        <f t="shared" si="377"/>
        <v>37218.300000000003</v>
      </c>
      <c r="J169" s="87">
        <f t="shared" si="378"/>
        <v>36818.300000000003</v>
      </c>
      <c r="K169" s="279">
        <f t="shared" si="379"/>
        <v>36818.300000000003</v>
      </c>
      <c r="L169" s="440">
        <f t="shared" si="380"/>
        <v>36768.300000000003</v>
      </c>
      <c r="M169" s="279">
        <f t="shared" si="381"/>
        <v>36768.300000000003</v>
      </c>
      <c r="N169" s="440">
        <f t="shared" si="382"/>
        <v>36728.300000000003</v>
      </c>
      <c r="O169" s="279">
        <f t="shared" si="383"/>
        <v>36728.300000000003</v>
      </c>
      <c r="P169" s="440">
        <f t="shared" si="384"/>
        <v>36718.300000000003</v>
      </c>
      <c r="Q169" s="279">
        <f t="shared" si="385"/>
        <v>36718.300000000003</v>
      </c>
      <c r="R169" s="440">
        <f t="shared" si="386"/>
        <v>36698.300000000003</v>
      </c>
      <c r="S169" s="279">
        <f t="shared" si="387"/>
        <v>36698.300000000003</v>
      </c>
      <c r="T169" s="440">
        <f t="shared" si="388"/>
        <v>36683.300000000003</v>
      </c>
      <c r="U169" s="279">
        <f t="shared" si="389"/>
        <v>36683.300000000003</v>
      </c>
      <c r="V169" s="440">
        <f t="shared" si="390"/>
        <v>36674.300000000003</v>
      </c>
      <c r="W169" s="279">
        <f t="shared" si="375"/>
        <v>36674.300000000003</v>
      </c>
      <c r="X169" s="668"/>
      <c r="Y169" s="669"/>
      <c r="Z169" s="669"/>
      <c r="AA169" s="670"/>
      <c r="AB169" s="189">
        <v>384</v>
      </c>
    </row>
    <row r="170" spans="1:38" ht="12.6" customHeight="1" x14ac:dyDescent="0.2">
      <c r="A170" s="20"/>
      <c r="B170" s="733" t="s">
        <v>878</v>
      </c>
      <c r="C170" s="734"/>
      <c r="D170" s="734"/>
      <c r="E170" s="735"/>
      <c r="F170" s="364">
        <f>21.9*X2</f>
        <v>24046.199999999997</v>
      </c>
      <c r="G170" s="251">
        <f t="shared" si="391"/>
        <v>24046.199999999997</v>
      </c>
      <c r="H170" s="607">
        <f t="shared" si="370"/>
        <v>24646.199999999997</v>
      </c>
      <c r="I170" s="278">
        <f t="shared" ref="I170:I174" si="392">+H170*$X$1</f>
        <v>24646.199999999997</v>
      </c>
      <c r="J170" s="607">
        <f t="shared" si="378"/>
        <v>24246.199999999997</v>
      </c>
      <c r="K170" s="278">
        <f t="shared" ref="K170:K174" si="393">+J170*$X$1</f>
        <v>24246.199999999997</v>
      </c>
      <c r="L170" s="607">
        <f>F170+150</f>
        <v>24196.199999999997</v>
      </c>
      <c r="M170" s="278">
        <f t="shared" ref="M170:M174" si="394">+L170*$X$1</f>
        <v>24196.199999999997</v>
      </c>
      <c r="N170" s="607">
        <f>F170+100</f>
        <v>24146.199999999997</v>
      </c>
      <c r="O170" s="278">
        <f>+N170*$X$1</f>
        <v>24146.199999999997</v>
      </c>
      <c r="P170" s="607">
        <f>F170+90</f>
        <v>24136.199999999997</v>
      </c>
      <c r="Q170" s="278">
        <f t="shared" ref="Q170:Q174" si="395">+P170*$X$1</f>
        <v>24136.199999999997</v>
      </c>
      <c r="R170" s="607">
        <f>F170+70</f>
        <v>24116.199999999997</v>
      </c>
      <c r="S170" s="278">
        <f>+R170*$X$1</f>
        <v>24116.199999999997</v>
      </c>
      <c r="T170" s="607">
        <f>F170+56</f>
        <v>24102.199999999997</v>
      </c>
      <c r="U170" s="278">
        <f t="shared" ref="U170:U178" si="396">+T170*$X$1</f>
        <v>24102.199999999997</v>
      </c>
      <c r="V170" s="607">
        <f>F170+49</f>
        <v>24095.199999999997</v>
      </c>
      <c r="W170" s="278">
        <f t="shared" ref="W170:W178" si="397">+V170*$X$1</f>
        <v>24095.199999999997</v>
      </c>
      <c r="X170" s="668"/>
      <c r="Y170" s="669"/>
      <c r="Z170" s="669"/>
      <c r="AA170" s="670"/>
      <c r="AB170" s="189">
        <v>392</v>
      </c>
    </row>
    <row r="171" spans="1:38" ht="12.6" customHeight="1" x14ac:dyDescent="0.2">
      <c r="A171" s="20"/>
      <c r="B171" s="760" t="s">
        <v>945</v>
      </c>
      <c r="C171" s="761"/>
      <c r="D171" s="761"/>
      <c r="E171" s="762"/>
      <c r="F171" s="365">
        <f>54*X2</f>
        <v>59292</v>
      </c>
      <c r="G171" s="294">
        <f t="shared" si="391"/>
        <v>59292</v>
      </c>
      <c r="H171" s="440">
        <f t="shared" si="370"/>
        <v>59892</v>
      </c>
      <c r="I171" s="279">
        <f t="shared" si="392"/>
        <v>59892</v>
      </c>
      <c r="J171" s="87">
        <f t="shared" si="378"/>
        <v>59492</v>
      </c>
      <c r="K171" s="279">
        <f t="shared" si="393"/>
        <v>59492</v>
      </c>
      <c r="L171" s="440">
        <f t="shared" ref="L171:L174" si="398">F171+150</f>
        <v>59442</v>
      </c>
      <c r="M171" s="279">
        <f t="shared" si="394"/>
        <v>59442</v>
      </c>
      <c r="N171" s="440">
        <f t="shared" ref="N171:N174" si="399">F171+110</f>
        <v>59402</v>
      </c>
      <c r="O171" s="279">
        <f t="shared" ref="O171:O174" si="400">+N171*$X$1</f>
        <v>59402</v>
      </c>
      <c r="P171" s="440">
        <f t="shared" ref="P171:P174" si="401">F171+100</f>
        <v>59392</v>
      </c>
      <c r="Q171" s="279">
        <f t="shared" si="395"/>
        <v>59392</v>
      </c>
      <c r="R171" s="440">
        <f t="shared" ref="R171:R174" si="402">F171+80</f>
        <v>59372</v>
      </c>
      <c r="S171" s="279">
        <f t="shared" ref="S171:S174" si="403">+R171*$X$1</f>
        <v>59372</v>
      </c>
      <c r="T171" s="440">
        <f t="shared" ref="T171:T174" si="404">F171+65</f>
        <v>59357</v>
      </c>
      <c r="U171" s="279">
        <f t="shared" si="396"/>
        <v>59357</v>
      </c>
      <c r="V171" s="440">
        <f t="shared" ref="V171:V174" si="405">F171+56</f>
        <v>59348</v>
      </c>
      <c r="W171" s="279">
        <f t="shared" si="397"/>
        <v>59348</v>
      </c>
      <c r="X171" s="668"/>
      <c r="Y171" s="669"/>
      <c r="Z171" s="669"/>
      <c r="AA171" s="670"/>
      <c r="AB171" s="189">
        <v>393</v>
      </c>
    </row>
    <row r="172" spans="1:38" ht="12.6" customHeight="1" x14ac:dyDescent="0.2">
      <c r="A172" s="20"/>
      <c r="B172" s="760" t="s">
        <v>944</v>
      </c>
      <c r="C172" s="761"/>
      <c r="D172" s="761"/>
      <c r="E172" s="762"/>
      <c r="F172" s="364">
        <f>49*X2</f>
        <v>53802</v>
      </c>
      <c r="G172" s="251">
        <f t="shared" ref="G172" si="406">+F172*$X$1</f>
        <v>53802</v>
      </c>
      <c r="H172" s="440">
        <f t="shared" si="370"/>
        <v>54402</v>
      </c>
      <c r="I172" s="278">
        <f t="shared" si="392"/>
        <v>54402</v>
      </c>
      <c r="J172" s="70">
        <f t="shared" si="378"/>
        <v>54002</v>
      </c>
      <c r="K172" s="278">
        <f t="shared" si="393"/>
        <v>54002</v>
      </c>
      <c r="L172" s="607">
        <f t="shared" si="398"/>
        <v>53952</v>
      </c>
      <c r="M172" s="278">
        <f t="shared" si="394"/>
        <v>53952</v>
      </c>
      <c r="N172" s="607">
        <f t="shared" si="399"/>
        <v>53912</v>
      </c>
      <c r="O172" s="278">
        <f t="shared" si="400"/>
        <v>53912</v>
      </c>
      <c r="P172" s="607">
        <f t="shared" si="401"/>
        <v>53902</v>
      </c>
      <c r="Q172" s="278">
        <f t="shared" si="395"/>
        <v>53902</v>
      </c>
      <c r="R172" s="607">
        <f t="shared" si="402"/>
        <v>53882</v>
      </c>
      <c r="S172" s="278">
        <f t="shared" si="403"/>
        <v>53882</v>
      </c>
      <c r="T172" s="607">
        <f t="shared" si="404"/>
        <v>53867</v>
      </c>
      <c r="U172" s="278">
        <f t="shared" si="396"/>
        <v>53867</v>
      </c>
      <c r="V172" s="607">
        <f t="shared" si="405"/>
        <v>53858</v>
      </c>
      <c r="W172" s="278">
        <f t="shared" si="397"/>
        <v>53858</v>
      </c>
      <c r="X172" s="668"/>
      <c r="Y172" s="669"/>
      <c r="Z172" s="669"/>
      <c r="AA172" s="670"/>
      <c r="AB172" s="189">
        <v>394</v>
      </c>
    </row>
    <row r="173" spans="1:38" ht="12.6" customHeight="1" x14ac:dyDescent="0.2">
      <c r="A173" s="20"/>
      <c r="B173" s="748" t="s">
        <v>921</v>
      </c>
      <c r="C173" s="772"/>
      <c r="D173" s="772"/>
      <c r="E173" s="773"/>
      <c r="F173" s="365">
        <f>17.6*X2</f>
        <v>19324.800000000003</v>
      </c>
      <c r="G173" s="294">
        <f t="shared" ref="G173:G175" si="407">+F173*$X$1</f>
        <v>19324.800000000003</v>
      </c>
      <c r="H173" s="440">
        <f t="shared" si="370"/>
        <v>19924.800000000003</v>
      </c>
      <c r="I173" s="279">
        <f t="shared" si="392"/>
        <v>19924.800000000003</v>
      </c>
      <c r="J173" s="87">
        <f t="shared" si="378"/>
        <v>19524.800000000003</v>
      </c>
      <c r="K173" s="279">
        <f t="shared" si="393"/>
        <v>19524.800000000003</v>
      </c>
      <c r="L173" s="440">
        <f t="shared" si="398"/>
        <v>19474.800000000003</v>
      </c>
      <c r="M173" s="279">
        <f t="shared" si="394"/>
        <v>19474.800000000003</v>
      </c>
      <c r="N173" s="440">
        <f t="shared" si="399"/>
        <v>19434.800000000003</v>
      </c>
      <c r="O173" s="279">
        <f t="shared" si="400"/>
        <v>19434.800000000003</v>
      </c>
      <c r="P173" s="440">
        <f t="shared" si="401"/>
        <v>19424.800000000003</v>
      </c>
      <c r="Q173" s="279">
        <f t="shared" si="395"/>
        <v>19424.800000000003</v>
      </c>
      <c r="R173" s="440">
        <f t="shared" si="402"/>
        <v>19404.800000000003</v>
      </c>
      <c r="S173" s="279">
        <f t="shared" si="403"/>
        <v>19404.800000000003</v>
      </c>
      <c r="T173" s="440">
        <f t="shared" si="404"/>
        <v>19389.800000000003</v>
      </c>
      <c r="U173" s="279">
        <f t="shared" si="396"/>
        <v>19389.800000000003</v>
      </c>
      <c r="V173" s="440">
        <f t="shared" si="405"/>
        <v>19380.800000000003</v>
      </c>
      <c r="W173" s="279">
        <f t="shared" si="397"/>
        <v>19380.800000000003</v>
      </c>
      <c r="X173" s="668"/>
      <c r="Y173" s="669"/>
      <c r="Z173" s="669"/>
      <c r="AA173" s="670"/>
      <c r="AB173" s="189">
        <v>395</v>
      </c>
    </row>
    <row r="174" spans="1:38" ht="12.6" customHeight="1" x14ac:dyDescent="0.2">
      <c r="A174" s="20"/>
      <c r="B174" s="760" t="s">
        <v>957</v>
      </c>
      <c r="C174" s="761"/>
      <c r="D174" s="761"/>
      <c r="E174" s="762"/>
      <c r="F174" s="364">
        <f>22.04*X2</f>
        <v>24199.919999999998</v>
      </c>
      <c r="G174" s="251">
        <f t="shared" ref="G174" si="408">+F174*$X$1</f>
        <v>24199.919999999998</v>
      </c>
      <c r="H174" s="440">
        <f t="shared" si="370"/>
        <v>24799.919999999998</v>
      </c>
      <c r="I174" s="278">
        <f t="shared" si="392"/>
        <v>24799.919999999998</v>
      </c>
      <c r="J174" s="70">
        <f t="shared" si="378"/>
        <v>24399.919999999998</v>
      </c>
      <c r="K174" s="278">
        <f t="shared" si="393"/>
        <v>24399.919999999998</v>
      </c>
      <c r="L174" s="607">
        <f t="shared" si="398"/>
        <v>24349.919999999998</v>
      </c>
      <c r="M174" s="278">
        <f t="shared" si="394"/>
        <v>24349.919999999998</v>
      </c>
      <c r="N174" s="607">
        <f t="shared" si="399"/>
        <v>24309.919999999998</v>
      </c>
      <c r="O174" s="278">
        <f t="shared" si="400"/>
        <v>24309.919999999998</v>
      </c>
      <c r="P174" s="607">
        <f t="shared" si="401"/>
        <v>24299.919999999998</v>
      </c>
      <c r="Q174" s="278">
        <f t="shared" si="395"/>
        <v>24299.919999999998</v>
      </c>
      <c r="R174" s="607">
        <f t="shared" si="402"/>
        <v>24279.919999999998</v>
      </c>
      <c r="S174" s="278">
        <f t="shared" si="403"/>
        <v>24279.919999999998</v>
      </c>
      <c r="T174" s="607">
        <f t="shared" si="404"/>
        <v>24264.92</v>
      </c>
      <c r="U174" s="278">
        <f t="shared" si="396"/>
        <v>24264.92</v>
      </c>
      <c r="V174" s="607">
        <f t="shared" si="405"/>
        <v>24255.919999999998</v>
      </c>
      <c r="W174" s="278">
        <f t="shared" si="397"/>
        <v>24255.919999999998</v>
      </c>
      <c r="X174" s="668"/>
      <c r="Y174" s="669"/>
      <c r="Z174" s="669"/>
      <c r="AA174" s="670"/>
      <c r="AB174" s="189">
        <v>396</v>
      </c>
    </row>
    <row r="175" spans="1:38" ht="12.6" customHeight="1" x14ac:dyDescent="0.2">
      <c r="A175" s="20"/>
      <c r="B175" s="760" t="s">
        <v>919</v>
      </c>
      <c r="C175" s="761"/>
      <c r="D175" s="761"/>
      <c r="E175" s="762"/>
      <c r="F175" s="365">
        <f>29.69*X2</f>
        <v>32599.620000000003</v>
      </c>
      <c r="G175" s="294">
        <f t="shared" si="407"/>
        <v>32599.620000000003</v>
      </c>
      <c r="H175" s="440">
        <f t="shared" si="370"/>
        <v>33199.620000000003</v>
      </c>
      <c r="I175" s="279">
        <f t="shared" ref="I175:I177" si="409">+H175*$X$1</f>
        <v>33199.620000000003</v>
      </c>
      <c r="J175" s="440">
        <f t="shared" si="378"/>
        <v>32799.620000000003</v>
      </c>
      <c r="K175" s="279">
        <f t="shared" ref="K175:K177" si="410">+J175*$X$1</f>
        <v>32799.620000000003</v>
      </c>
      <c r="L175" s="440">
        <f>F175+150</f>
        <v>32749.620000000003</v>
      </c>
      <c r="M175" s="279">
        <f t="shared" ref="M175:M177" si="411">+L175*$X$1</f>
        <v>32749.620000000003</v>
      </c>
      <c r="N175" s="440">
        <f>F175+100</f>
        <v>32699.620000000003</v>
      </c>
      <c r="O175" s="279">
        <f>+N175*$X$1</f>
        <v>32699.620000000003</v>
      </c>
      <c r="P175" s="440">
        <f>F175+90</f>
        <v>32689.620000000003</v>
      </c>
      <c r="Q175" s="279">
        <f t="shared" ref="Q175:Q177" si="412">+P175*$X$1</f>
        <v>32689.620000000003</v>
      </c>
      <c r="R175" s="440">
        <f>F175+70</f>
        <v>32669.620000000003</v>
      </c>
      <c r="S175" s="279">
        <f>+R175*$X$1</f>
        <v>32669.620000000003</v>
      </c>
      <c r="T175" s="440">
        <f>F175+56</f>
        <v>32655.620000000003</v>
      </c>
      <c r="U175" s="279">
        <f t="shared" ref="U175:U177" si="413">+T175*$X$1</f>
        <v>32655.620000000003</v>
      </c>
      <c r="V175" s="440">
        <f>F175+49</f>
        <v>32648.620000000003</v>
      </c>
      <c r="W175" s="279">
        <f t="shared" ref="W175:W177" si="414">+V175*$X$1</f>
        <v>32648.620000000003</v>
      </c>
      <c r="X175" s="668"/>
      <c r="Y175" s="669"/>
      <c r="Z175" s="669"/>
      <c r="AA175" s="670"/>
      <c r="AB175" s="189">
        <v>397</v>
      </c>
    </row>
    <row r="176" spans="1:38" ht="12.6" customHeight="1" x14ac:dyDescent="0.2">
      <c r="A176" s="20"/>
      <c r="B176" s="733" t="s">
        <v>920</v>
      </c>
      <c r="C176" s="734"/>
      <c r="D176" s="734"/>
      <c r="E176" s="735"/>
      <c r="F176" s="364">
        <f>19.3*X2</f>
        <v>21191.4</v>
      </c>
      <c r="G176" s="251">
        <f t="shared" ref="G176:G178" si="415">+F176*$X$1</f>
        <v>21191.4</v>
      </c>
      <c r="H176" s="607">
        <f t="shared" si="370"/>
        <v>21791.4</v>
      </c>
      <c r="I176" s="278">
        <f t="shared" si="409"/>
        <v>21791.4</v>
      </c>
      <c r="J176" s="607">
        <f t="shared" si="378"/>
        <v>21391.4</v>
      </c>
      <c r="K176" s="278">
        <f t="shared" si="410"/>
        <v>21391.4</v>
      </c>
      <c r="L176" s="607">
        <f>F176+150</f>
        <v>21341.4</v>
      </c>
      <c r="M176" s="278">
        <f t="shared" si="411"/>
        <v>21341.4</v>
      </c>
      <c r="N176" s="607">
        <f>F176+100</f>
        <v>21291.4</v>
      </c>
      <c r="O176" s="278">
        <f>+N176*$X$1</f>
        <v>21291.4</v>
      </c>
      <c r="P176" s="607">
        <f>F176+90</f>
        <v>21281.4</v>
      </c>
      <c r="Q176" s="278">
        <f t="shared" si="412"/>
        <v>21281.4</v>
      </c>
      <c r="R176" s="607">
        <f>F176+70</f>
        <v>21261.4</v>
      </c>
      <c r="S176" s="278">
        <f>+R176*$X$1</f>
        <v>21261.4</v>
      </c>
      <c r="T176" s="607">
        <f>F176+56</f>
        <v>21247.4</v>
      </c>
      <c r="U176" s="278">
        <f t="shared" si="413"/>
        <v>21247.4</v>
      </c>
      <c r="V176" s="607">
        <f>F176+49</f>
        <v>21240.400000000001</v>
      </c>
      <c r="W176" s="278">
        <f t="shared" si="414"/>
        <v>21240.400000000001</v>
      </c>
      <c r="X176" s="668"/>
      <c r="Y176" s="669"/>
      <c r="Z176" s="669"/>
      <c r="AA176" s="670"/>
      <c r="AB176" s="189">
        <v>398</v>
      </c>
    </row>
    <row r="177" spans="1:38" s="1" customFormat="1" ht="12.6" customHeight="1" x14ac:dyDescent="0.2">
      <c r="A177" s="19"/>
      <c r="B177" s="760" t="s">
        <v>947</v>
      </c>
      <c r="C177" s="761"/>
      <c r="D177" s="761"/>
      <c r="E177" s="762"/>
      <c r="F177" s="561">
        <f>28.1*X2</f>
        <v>30853.800000000003</v>
      </c>
      <c r="G177" s="279">
        <f t="shared" si="415"/>
        <v>30853.800000000003</v>
      </c>
      <c r="H177" s="87">
        <f t="shared" si="370"/>
        <v>31453.800000000003</v>
      </c>
      <c r="I177" s="279">
        <f t="shared" si="409"/>
        <v>31453.800000000003</v>
      </c>
      <c r="J177" s="440">
        <f>F177+220</f>
        <v>31073.800000000003</v>
      </c>
      <c r="K177" s="279">
        <f t="shared" si="410"/>
        <v>31073.800000000003</v>
      </c>
      <c r="L177" s="440">
        <f>F177+170</f>
        <v>31023.800000000003</v>
      </c>
      <c r="M177" s="279">
        <f t="shared" si="411"/>
        <v>31023.800000000003</v>
      </c>
      <c r="N177" s="440">
        <f>F177+120</f>
        <v>30973.800000000003</v>
      </c>
      <c r="O177" s="279">
        <f t="shared" ref="O177" si="416">+N177*$X$1</f>
        <v>30973.800000000003</v>
      </c>
      <c r="P177" s="440">
        <f>F177+110</f>
        <v>30963.800000000003</v>
      </c>
      <c r="Q177" s="279">
        <f t="shared" si="412"/>
        <v>30963.800000000003</v>
      </c>
      <c r="R177" s="440">
        <f>F177+95</f>
        <v>30948.800000000003</v>
      </c>
      <c r="S177" s="279">
        <f t="shared" ref="S177" si="417">+R177*$X$1</f>
        <v>30948.800000000003</v>
      </c>
      <c r="T177" s="440">
        <f>F177+85</f>
        <v>30938.800000000003</v>
      </c>
      <c r="U177" s="279">
        <f t="shared" si="413"/>
        <v>30938.800000000003</v>
      </c>
      <c r="V177" s="440">
        <f>F177+76</f>
        <v>30929.800000000003</v>
      </c>
      <c r="W177" s="279">
        <f t="shared" si="414"/>
        <v>30929.800000000003</v>
      </c>
      <c r="X177" s="590"/>
      <c r="Y177" s="591"/>
      <c r="Z177" s="591"/>
      <c r="AA177" s="592"/>
      <c r="AB177" s="189">
        <v>399</v>
      </c>
      <c r="AC177" s="4"/>
      <c r="AD177" s="4"/>
      <c r="AE177" s="4"/>
      <c r="AF177" s="4"/>
      <c r="AG177" s="4"/>
      <c r="AH177" s="125"/>
      <c r="AI177" s="4"/>
      <c r="AJ177" s="4"/>
      <c r="AK177" s="4"/>
      <c r="AL177" s="4"/>
    </row>
    <row r="178" spans="1:38" ht="12.6" customHeight="1" x14ac:dyDescent="0.2">
      <c r="A178" s="20"/>
      <c r="B178" s="760" t="s">
        <v>946</v>
      </c>
      <c r="C178" s="761"/>
      <c r="D178" s="761"/>
      <c r="E178" s="762"/>
      <c r="F178" s="364">
        <f>28.6*X2</f>
        <v>31402.800000000003</v>
      </c>
      <c r="G178" s="251">
        <f t="shared" si="415"/>
        <v>31402.800000000003</v>
      </c>
      <c r="H178" s="607">
        <f t="shared" si="370"/>
        <v>32002.800000000003</v>
      </c>
      <c r="I178" s="278">
        <f t="shared" ref="I178:I181" si="418">+H178*$X$1</f>
        <v>32002.800000000003</v>
      </c>
      <c r="J178" s="70">
        <f t="shared" ref="J178:J183" si="419">F178+200</f>
        <v>31602.800000000003</v>
      </c>
      <c r="K178" s="278">
        <f t="shared" ref="K178:K181" si="420">+J178*$X$1</f>
        <v>31602.800000000003</v>
      </c>
      <c r="L178" s="607">
        <f t="shared" ref="L178" si="421">F178+150</f>
        <v>31552.800000000003</v>
      </c>
      <c r="M178" s="278">
        <f t="shared" ref="M178:M181" si="422">+L178*$X$1</f>
        <v>31552.800000000003</v>
      </c>
      <c r="N178" s="607">
        <f t="shared" ref="N178" si="423">F178+110</f>
        <v>31512.800000000003</v>
      </c>
      <c r="O178" s="278">
        <f t="shared" ref="O178" si="424">+N178*$X$1</f>
        <v>31512.800000000003</v>
      </c>
      <c r="P178" s="607">
        <f t="shared" ref="P178" si="425">F178+100</f>
        <v>31502.800000000003</v>
      </c>
      <c r="Q178" s="278">
        <f t="shared" ref="Q178:Q181" si="426">+P178*$X$1</f>
        <v>31502.800000000003</v>
      </c>
      <c r="R178" s="607">
        <f t="shared" ref="R178" si="427">F178+80</f>
        <v>31482.800000000003</v>
      </c>
      <c r="S178" s="278">
        <f t="shared" ref="S178" si="428">+R178*$X$1</f>
        <v>31482.800000000003</v>
      </c>
      <c r="T178" s="607">
        <f t="shared" ref="T178" si="429">F178+65</f>
        <v>31467.800000000003</v>
      </c>
      <c r="U178" s="278">
        <f t="shared" si="396"/>
        <v>31467.800000000003</v>
      </c>
      <c r="V178" s="607">
        <f t="shared" ref="V178" si="430">F178+56</f>
        <v>31458.800000000003</v>
      </c>
      <c r="W178" s="278">
        <f t="shared" si="397"/>
        <v>31458.800000000003</v>
      </c>
      <c r="X178" s="668"/>
      <c r="Y178" s="669"/>
      <c r="Z178" s="669"/>
      <c r="AA178" s="670"/>
      <c r="AB178" s="189">
        <v>402</v>
      </c>
    </row>
    <row r="179" spans="1:38" ht="12.6" customHeight="1" x14ac:dyDescent="0.2">
      <c r="A179" s="20"/>
      <c r="B179" s="693" t="s">
        <v>585</v>
      </c>
      <c r="C179" s="694"/>
      <c r="D179" s="694"/>
      <c r="E179" s="694"/>
      <c r="F179" s="365">
        <f>13.317*X2</f>
        <v>14622.066000000001</v>
      </c>
      <c r="G179" s="294">
        <f t="shared" ref="G179" si="431">+F179*$X$1</f>
        <v>14622.066000000001</v>
      </c>
      <c r="H179" s="440">
        <f t="shared" si="370"/>
        <v>15222.066000000001</v>
      </c>
      <c r="I179" s="279">
        <f t="shared" ref="I179" si="432">+H179*$X$1</f>
        <v>15222.066000000001</v>
      </c>
      <c r="J179" s="440">
        <f t="shared" si="419"/>
        <v>14822.066000000001</v>
      </c>
      <c r="K179" s="279">
        <f t="shared" si="420"/>
        <v>14822.066000000001</v>
      </c>
      <c r="L179" s="440">
        <f>F179+150</f>
        <v>14772.066000000001</v>
      </c>
      <c r="M179" s="279">
        <f t="shared" ref="M179" si="433">+L179*$X$1</f>
        <v>14772.066000000001</v>
      </c>
      <c r="N179" s="440">
        <f>F179+100</f>
        <v>14722.066000000001</v>
      </c>
      <c r="O179" s="279">
        <f>+N179*$X$1</f>
        <v>14722.066000000001</v>
      </c>
      <c r="P179" s="440">
        <f>F179+90</f>
        <v>14712.066000000001</v>
      </c>
      <c r="Q179" s="279">
        <f t="shared" ref="Q179" si="434">+P179*$X$1</f>
        <v>14712.066000000001</v>
      </c>
      <c r="R179" s="440">
        <f>F179+70</f>
        <v>14692.066000000001</v>
      </c>
      <c r="S179" s="279">
        <f>+R179*$X$1</f>
        <v>14692.066000000001</v>
      </c>
      <c r="T179" s="440">
        <f>F179+56</f>
        <v>14678.066000000001</v>
      </c>
      <c r="U179" s="279">
        <f t="shared" ref="U179" si="435">+T179*$X$1</f>
        <v>14678.066000000001</v>
      </c>
      <c r="V179" s="440">
        <f>F179+49</f>
        <v>14671.066000000001</v>
      </c>
      <c r="W179" s="279">
        <f t="shared" ref="W179" si="436">+V179*$X$1</f>
        <v>14671.066000000001</v>
      </c>
      <c r="X179" s="685"/>
      <c r="Y179" s="777"/>
      <c r="Z179" s="777"/>
      <c r="AA179" s="686"/>
      <c r="AB179" s="189" t="s">
        <v>586</v>
      </c>
    </row>
    <row r="180" spans="1:38" ht="12.6" customHeight="1" x14ac:dyDescent="0.2">
      <c r="A180" s="20"/>
      <c r="B180" s="728" t="s">
        <v>594</v>
      </c>
      <c r="C180" s="729"/>
      <c r="D180" s="729"/>
      <c r="E180" s="729"/>
      <c r="F180" s="364">
        <f>17.78*X2</f>
        <v>19522.440000000002</v>
      </c>
      <c r="G180" s="251">
        <f t="shared" ref="G180" si="437">+F180*$X$1</f>
        <v>19522.440000000002</v>
      </c>
      <c r="H180" s="607">
        <f t="shared" si="370"/>
        <v>20122.440000000002</v>
      </c>
      <c r="I180" s="278">
        <f t="shared" si="418"/>
        <v>20122.440000000002</v>
      </c>
      <c r="J180" s="607">
        <f t="shared" si="419"/>
        <v>19722.440000000002</v>
      </c>
      <c r="K180" s="278">
        <f t="shared" si="420"/>
        <v>19722.440000000002</v>
      </c>
      <c r="L180" s="607">
        <f>F180+150</f>
        <v>19672.440000000002</v>
      </c>
      <c r="M180" s="278">
        <f t="shared" si="422"/>
        <v>19672.440000000002</v>
      </c>
      <c r="N180" s="607">
        <f>F180+100</f>
        <v>19622.440000000002</v>
      </c>
      <c r="O180" s="278">
        <f>+N180*$X$1</f>
        <v>19622.440000000002</v>
      </c>
      <c r="P180" s="607">
        <f>F180+90</f>
        <v>19612.440000000002</v>
      </c>
      <c r="Q180" s="278">
        <f t="shared" si="426"/>
        <v>19612.440000000002</v>
      </c>
      <c r="R180" s="607">
        <f>F180+70</f>
        <v>19592.440000000002</v>
      </c>
      <c r="S180" s="278">
        <f>+R180*$X$1</f>
        <v>19592.440000000002</v>
      </c>
      <c r="T180" s="607">
        <f>F180+56</f>
        <v>19578.440000000002</v>
      </c>
      <c r="U180" s="278">
        <f t="shared" ref="U180:U181" si="438">+T180*$X$1</f>
        <v>19578.440000000002</v>
      </c>
      <c r="V180" s="607">
        <f>F180+49</f>
        <v>19571.440000000002</v>
      </c>
      <c r="W180" s="278">
        <f t="shared" ref="W180:W181" si="439">+V180*$X$1</f>
        <v>19571.440000000002</v>
      </c>
      <c r="X180" s="175"/>
      <c r="Y180" s="177"/>
      <c r="Z180" s="177"/>
      <c r="AA180" s="175"/>
      <c r="AB180" s="189" t="s">
        <v>593</v>
      </c>
    </row>
    <row r="181" spans="1:38" ht="12.6" customHeight="1" x14ac:dyDescent="0.2">
      <c r="A181" s="20"/>
      <c r="B181" s="693" t="s">
        <v>588</v>
      </c>
      <c r="C181" s="694"/>
      <c r="D181" s="694"/>
      <c r="E181" s="694"/>
      <c r="F181" s="365">
        <f>12.84*X2</f>
        <v>14098.32</v>
      </c>
      <c r="G181" s="294">
        <f t="shared" ref="G181" si="440">+F181*$X$1</f>
        <v>14098.32</v>
      </c>
      <c r="H181" s="440">
        <f t="shared" si="370"/>
        <v>14698.32</v>
      </c>
      <c r="I181" s="279">
        <f t="shared" si="418"/>
        <v>14698.32</v>
      </c>
      <c r="J181" s="87">
        <f t="shared" si="419"/>
        <v>14298.32</v>
      </c>
      <c r="K181" s="279">
        <f t="shared" si="420"/>
        <v>14298.32</v>
      </c>
      <c r="L181" s="440">
        <f t="shared" ref="L181" si="441">F181+150</f>
        <v>14248.32</v>
      </c>
      <c r="M181" s="279">
        <f t="shared" si="422"/>
        <v>14248.32</v>
      </c>
      <c r="N181" s="440">
        <f t="shared" ref="N181" si="442">F181+110</f>
        <v>14208.32</v>
      </c>
      <c r="O181" s="279">
        <f t="shared" ref="O181" si="443">+N181*$X$1</f>
        <v>14208.32</v>
      </c>
      <c r="P181" s="440">
        <f t="shared" ref="P181" si="444">F181+100</f>
        <v>14198.32</v>
      </c>
      <c r="Q181" s="279">
        <f t="shared" si="426"/>
        <v>14198.32</v>
      </c>
      <c r="R181" s="440">
        <f t="shared" ref="R181" si="445">F181+80</f>
        <v>14178.32</v>
      </c>
      <c r="S181" s="279">
        <f t="shared" ref="S181" si="446">+R181*$X$1</f>
        <v>14178.32</v>
      </c>
      <c r="T181" s="440">
        <f t="shared" ref="T181" si="447">F181+65</f>
        <v>14163.32</v>
      </c>
      <c r="U181" s="279">
        <f t="shared" si="438"/>
        <v>14163.32</v>
      </c>
      <c r="V181" s="440">
        <f t="shared" ref="V181" si="448">F181+56</f>
        <v>14154.32</v>
      </c>
      <c r="W181" s="279">
        <f t="shared" si="439"/>
        <v>14154.32</v>
      </c>
      <c r="X181" s="668"/>
      <c r="Y181" s="669"/>
      <c r="Z181" s="669"/>
      <c r="AA181" s="670"/>
      <c r="AB181" s="189" t="s">
        <v>587</v>
      </c>
    </row>
    <row r="182" spans="1:38" ht="12.6" customHeight="1" x14ac:dyDescent="0.2">
      <c r="A182" s="20"/>
      <c r="B182" s="728" t="s">
        <v>337</v>
      </c>
      <c r="C182" s="729"/>
      <c r="D182" s="729"/>
      <c r="E182" s="729"/>
      <c r="F182" s="364">
        <f>15.93*X2</f>
        <v>17491.14</v>
      </c>
      <c r="G182" s="251">
        <f t="shared" ref="G182:G183" si="449">+F182*$X$1</f>
        <v>17491.14</v>
      </c>
      <c r="H182" s="607"/>
      <c r="I182" s="278"/>
      <c r="J182" s="70">
        <f t="shared" si="419"/>
        <v>17691.14</v>
      </c>
      <c r="K182" s="278">
        <f t="shared" ref="K182" si="450">+J182*$X$1</f>
        <v>17691.14</v>
      </c>
      <c r="L182" s="607">
        <f t="shared" ref="L182" si="451">F182+150</f>
        <v>17641.14</v>
      </c>
      <c r="M182" s="278">
        <f t="shared" ref="M182" si="452">+L182*$X$1</f>
        <v>17641.14</v>
      </c>
      <c r="N182" s="607">
        <f t="shared" ref="N182" si="453">F182+110</f>
        <v>17601.14</v>
      </c>
      <c r="O182" s="278">
        <f t="shared" ref="O182" si="454">+N182*$X$1</f>
        <v>17601.14</v>
      </c>
      <c r="P182" s="607">
        <f t="shared" ref="P182" si="455">F182+100</f>
        <v>17591.14</v>
      </c>
      <c r="Q182" s="278">
        <f t="shared" ref="Q182" si="456">+P182*$X$1</f>
        <v>17591.14</v>
      </c>
      <c r="R182" s="607">
        <f t="shared" ref="R182" si="457">F182+80</f>
        <v>17571.14</v>
      </c>
      <c r="S182" s="278">
        <f t="shared" ref="S182" si="458">+R182*$X$1</f>
        <v>17571.14</v>
      </c>
      <c r="T182" s="607">
        <f t="shared" ref="T182" si="459">F182+65</f>
        <v>17556.14</v>
      </c>
      <c r="U182" s="278">
        <f t="shared" ref="U182" si="460">+T182*$X$1</f>
        <v>17556.14</v>
      </c>
      <c r="V182" s="70"/>
      <c r="W182" s="70"/>
      <c r="X182" s="668"/>
      <c r="Y182" s="669"/>
      <c r="Z182" s="669"/>
      <c r="AA182" s="670"/>
      <c r="AB182" s="189">
        <v>405</v>
      </c>
    </row>
    <row r="183" spans="1:38" ht="12.6" customHeight="1" x14ac:dyDescent="0.2">
      <c r="A183" s="20"/>
      <c r="B183" s="693" t="s">
        <v>592</v>
      </c>
      <c r="C183" s="694"/>
      <c r="D183" s="694"/>
      <c r="E183" s="694"/>
      <c r="F183" s="365">
        <f>15.6*X2</f>
        <v>17128.8</v>
      </c>
      <c r="G183" s="294">
        <f t="shared" si="449"/>
        <v>17128.8</v>
      </c>
      <c r="H183" s="440">
        <f>F183+600</f>
        <v>17728.8</v>
      </c>
      <c r="I183" s="279">
        <f t="shared" ref="I183:I184" si="461">+H183*$X$1</f>
        <v>17728.8</v>
      </c>
      <c r="J183" s="440">
        <f t="shared" si="419"/>
        <v>17328.8</v>
      </c>
      <c r="K183" s="279">
        <f t="shared" ref="K183:K184" si="462">+J183*$X$1</f>
        <v>17328.8</v>
      </c>
      <c r="L183" s="440">
        <f>F183+150</f>
        <v>17278.8</v>
      </c>
      <c r="M183" s="279">
        <f t="shared" ref="M183:M184" si="463">+L183*$X$1</f>
        <v>17278.8</v>
      </c>
      <c r="N183" s="440">
        <f>F183+100</f>
        <v>17228.8</v>
      </c>
      <c r="O183" s="279">
        <f>+N183*$X$1</f>
        <v>17228.8</v>
      </c>
      <c r="P183" s="440">
        <f>F183+90</f>
        <v>17218.8</v>
      </c>
      <c r="Q183" s="279">
        <f t="shared" ref="Q183:Q184" si="464">+P183*$X$1</f>
        <v>17218.8</v>
      </c>
      <c r="R183" s="440">
        <f>F183+70</f>
        <v>17198.8</v>
      </c>
      <c r="S183" s="279">
        <f>+R183*$X$1</f>
        <v>17198.8</v>
      </c>
      <c r="T183" s="440">
        <f>F183+56</f>
        <v>17184.8</v>
      </c>
      <c r="U183" s="279">
        <f t="shared" ref="U183:U184" si="465">+T183*$X$1</f>
        <v>17184.8</v>
      </c>
      <c r="V183" s="440">
        <f>F183+49</f>
        <v>17177.8</v>
      </c>
      <c r="W183" s="279">
        <f t="shared" ref="W183:W184" si="466">+V183*$X$1</f>
        <v>17177.8</v>
      </c>
      <c r="X183" s="685"/>
      <c r="Y183" s="777"/>
      <c r="Z183" s="777"/>
      <c r="AA183" s="686"/>
      <c r="AB183" s="189" t="s">
        <v>591</v>
      </c>
    </row>
    <row r="184" spans="1:38" ht="12.6" customHeight="1" x14ac:dyDescent="0.2">
      <c r="A184" s="20"/>
      <c r="B184" s="690" t="s">
        <v>590</v>
      </c>
      <c r="C184" s="691"/>
      <c r="D184" s="691"/>
      <c r="E184" s="691"/>
      <c r="F184" s="364">
        <f>16.54*X2</f>
        <v>18160.919999999998</v>
      </c>
      <c r="G184" s="251">
        <f t="shared" ref="G184" si="467">+F184*$X$1</f>
        <v>18160.919999999998</v>
      </c>
      <c r="H184" s="70">
        <f>F184+600</f>
        <v>18760.919999999998</v>
      </c>
      <c r="I184" s="278">
        <f t="shared" si="461"/>
        <v>18760.919999999998</v>
      </c>
      <c r="J184" s="607">
        <f>F184+220</f>
        <v>18380.919999999998</v>
      </c>
      <c r="K184" s="278">
        <f t="shared" si="462"/>
        <v>18380.919999999998</v>
      </c>
      <c r="L184" s="607">
        <f>F184+170</f>
        <v>18330.919999999998</v>
      </c>
      <c r="M184" s="278">
        <f t="shared" si="463"/>
        <v>18330.919999999998</v>
      </c>
      <c r="N184" s="607">
        <f>F184+120</f>
        <v>18280.919999999998</v>
      </c>
      <c r="O184" s="278">
        <f t="shared" ref="O184" si="468">+N184*$X$1</f>
        <v>18280.919999999998</v>
      </c>
      <c r="P184" s="607">
        <f>F184+110</f>
        <v>18270.919999999998</v>
      </c>
      <c r="Q184" s="278">
        <f t="shared" si="464"/>
        <v>18270.919999999998</v>
      </c>
      <c r="R184" s="607">
        <f>F184+95</f>
        <v>18255.919999999998</v>
      </c>
      <c r="S184" s="278">
        <f t="shared" ref="S184" si="469">+R184*$X$1</f>
        <v>18255.919999999998</v>
      </c>
      <c r="T184" s="607">
        <f>F184+85</f>
        <v>18245.919999999998</v>
      </c>
      <c r="U184" s="278">
        <f t="shared" si="465"/>
        <v>18245.919999999998</v>
      </c>
      <c r="V184" s="607">
        <f>F184+76</f>
        <v>18236.919999999998</v>
      </c>
      <c r="W184" s="278">
        <f t="shared" si="466"/>
        <v>18236.919999999998</v>
      </c>
      <c r="X184" s="668"/>
      <c r="Y184" s="669"/>
      <c r="Z184" s="669"/>
      <c r="AA184" s="670"/>
      <c r="AB184" s="189" t="s">
        <v>589</v>
      </c>
    </row>
    <row r="185" spans="1:38" ht="12.6" customHeight="1" x14ac:dyDescent="0.2">
      <c r="A185" s="25"/>
      <c r="B185" s="659" t="s">
        <v>614</v>
      </c>
      <c r="C185" s="660"/>
      <c r="D185" s="660"/>
      <c r="E185" s="660"/>
      <c r="F185" s="308">
        <v>171</v>
      </c>
      <c r="G185" s="481"/>
      <c r="H185" s="354"/>
      <c r="I185" s="661" t="s">
        <v>559</v>
      </c>
      <c r="J185" s="662"/>
      <c r="K185" s="662"/>
      <c r="L185" s="662"/>
      <c r="M185" s="663"/>
      <c r="N185" s="440">
        <f>F185+220</f>
        <v>391</v>
      </c>
      <c r="O185" s="279">
        <f t="shared" ref="O185" si="470">+N185*$X$1</f>
        <v>391</v>
      </c>
      <c r="P185" s="440">
        <f>F185+200</f>
        <v>371</v>
      </c>
      <c r="Q185" s="279">
        <f t="shared" ref="Q185" si="471">+P185*$X$1</f>
        <v>371</v>
      </c>
      <c r="R185" s="440">
        <f>F185+170</f>
        <v>341</v>
      </c>
      <c r="S185" s="279">
        <f t="shared" ref="S185" si="472">+R185*$X$1</f>
        <v>341</v>
      </c>
      <c r="T185" s="440">
        <f>F185+155</f>
        <v>326</v>
      </c>
      <c r="U185" s="279">
        <f t="shared" ref="U185" si="473">+T185*$X$1</f>
        <v>326</v>
      </c>
      <c r="V185" s="440">
        <f>F185+140</f>
        <v>311</v>
      </c>
      <c r="W185" s="279">
        <f t="shared" ref="W185" si="474">+V185*$X$1</f>
        <v>311</v>
      </c>
      <c r="X185" s="154"/>
      <c r="Y185" s="144"/>
      <c r="Z185" s="144"/>
      <c r="AA185" s="144"/>
      <c r="AB185" s="189">
        <v>415</v>
      </c>
    </row>
    <row r="186" spans="1:38" ht="12.6" customHeight="1" x14ac:dyDescent="0.2">
      <c r="A186" s="25"/>
      <c r="B186" s="690" t="s">
        <v>507</v>
      </c>
      <c r="C186" s="691"/>
      <c r="D186" s="691"/>
      <c r="E186" s="691"/>
      <c r="F186" s="295">
        <v>191</v>
      </c>
      <c r="G186" s="251"/>
      <c r="H186" s="355"/>
      <c r="I186" s="664"/>
      <c r="J186" s="664"/>
      <c r="K186" s="664"/>
      <c r="L186" s="664"/>
      <c r="M186" s="665"/>
      <c r="N186" s="607">
        <f>F186+220</f>
        <v>411</v>
      </c>
      <c r="O186" s="278">
        <f t="shared" ref="O186:O189" si="475">+N186*$X$1</f>
        <v>411</v>
      </c>
      <c r="P186" s="607">
        <f>F186+200</f>
        <v>391</v>
      </c>
      <c r="Q186" s="278">
        <f t="shared" ref="Q186:Q189" si="476">+P186*$X$1</f>
        <v>391</v>
      </c>
      <c r="R186" s="607">
        <f>F186+170</f>
        <v>361</v>
      </c>
      <c r="S186" s="278">
        <f t="shared" ref="S186:S189" si="477">+R186*$X$1</f>
        <v>361</v>
      </c>
      <c r="T186" s="607">
        <f>F186+155</f>
        <v>346</v>
      </c>
      <c r="U186" s="278">
        <f t="shared" ref="U186:U189" si="478">+T186*$X$1</f>
        <v>346</v>
      </c>
      <c r="V186" s="607">
        <f>F186+140</f>
        <v>331</v>
      </c>
      <c r="W186" s="278">
        <f t="shared" ref="W186:W189" si="479">+V186*$X$1</f>
        <v>331</v>
      </c>
      <c r="X186" s="154"/>
      <c r="Y186" s="144"/>
      <c r="Z186" s="144"/>
      <c r="AA186" s="144"/>
      <c r="AB186" s="189">
        <v>416</v>
      </c>
    </row>
    <row r="187" spans="1:38" ht="12.6" customHeight="1" x14ac:dyDescent="0.2">
      <c r="A187" s="25"/>
      <c r="B187" s="672" t="s">
        <v>508</v>
      </c>
      <c r="C187" s="673"/>
      <c r="D187" s="673"/>
      <c r="E187" s="673"/>
      <c r="F187" s="308">
        <v>183</v>
      </c>
      <c r="G187" s="294"/>
      <c r="H187" s="355"/>
      <c r="I187" s="664"/>
      <c r="J187" s="664"/>
      <c r="K187" s="664"/>
      <c r="L187" s="664"/>
      <c r="M187" s="665"/>
      <c r="N187" s="440">
        <f>F187+220</f>
        <v>403</v>
      </c>
      <c r="O187" s="279">
        <f t="shared" si="475"/>
        <v>403</v>
      </c>
      <c r="P187" s="440">
        <f>F187+200</f>
        <v>383</v>
      </c>
      <c r="Q187" s="279">
        <f t="shared" si="476"/>
        <v>383</v>
      </c>
      <c r="R187" s="440">
        <f>F187+170</f>
        <v>353</v>
      </c>
      <c r="S187" s="279">
        <f t="shared" si="477"/>
        <v>353</v>
      </c>
      <c r="T187" s="440">
        <f>F187+155</f>
        <v>338</v>
      </c>
      <c r="U187" s="279">
        <f t="shared" si="478"/>
        <v>338</v>
      </c>
      <c r="V187" s="440">
        <f>F187+140</f>
        <v>323</v>
      </c>
      <c r="W187" s="279">
        <f t="shared" si="479"/>
        <v>323</v>
      </c>
      <c r="X187" s="154"/>
      <c r="Y187" s="144"/>
      <c r="Z187" s="144"/>
      <c r="AA187" s="144"/>
      <c r="AB187" s="189">
        <v>417</v>
      </c>
    </row>
    <row r="188" spans="1:38" ht="12.6" customHeight="1" x14ac:dyDescent="0.2">
      <c r="A188" s="25"/>
      <c r="B188" s="690" t="s">
        <v>509</v>
      </c>
      <c r="C188" s="691"/>
      <c r="D188" s="691"/>
      <c r="E188" s="691"/>
      <c r="F188" s="295">
        <v>183</v>
      </c>
      <c r="G188" s="251"/>
      <c r="H188" s="356"/>
      <c r="I188" s="666"/>
      <c r="J188" s="666"/>
      <c r="K188" s="666"/>
      <c r="L188" s="666"/>
      <c r="M188" s="667"/>
      <c r="N188" s="607">
        <f>F188+220</f>
        <v>403</v>
      </c>
      <c r="O188" s="278">
        <f t="shared" si="475"/>
        <v>403</v>
      </c>
      <c r="P188" s="607">
        <f>F188+200</f>
        <v>383</v>
      </c>
      <c r="Q188" s="278">
        <f t="shared" si="476"/>
        <v>383</v>
      </c>
      <c r="R188" s="607">
        <f>F188+170</f>
        <v>353</v>
      </c>
      <c r="S188" s="278">
        <f t="shared" si="477"/>
        <v>353</v>
      </c>
      <c r="T188" s="607">
        <f>F188+155</f>
        <v>338</v>
      </c>
      <c r="U188" s="278">
        <f t="shared" si="478"/>
        <v>338</v>
      </c>
      <c r="V188" s="607">
        <f>F188+140</f>
        <v>323</v>
      </c>
      <c r="W188" s="278">
        <f t="shared" si="479"/>
        <v>323</v>
      </c>
      <c r="X188" s="154"/>
      <c r="Y188" s="144"/>
      <c r="Z188" s="144"/>
      <c r="AA188" s="144"/>
      <c r="AB188" s="189">
        <v>418</v>
      </c>
    </row>
    <row r="189" spans="1:38" ht="12.6" customHeight="1" x14ac:dyDescent="0.2">
      <c r="A189" s="25"/>
      <c r="B189" s="672" t="s">
        <v>181</v>
      </c>
      <c r="C189" s="673"/>
      <c r="D189" s="673"/>
      <c r="E189" s="673"/>
      <c r="F189" s="368">
        <v>896</v>
      </c>
      <c r="G189" s="308">
        <f t="shared" ref="G189:G202" si="480">+F189*$X$1</f>
        <v>896</v>
      </c>
      <c r="H189" s="277"/>
      <c r="I189" s="337"/>
      <c r="J189" s="116"/>
      <c r="K189" s="480"/>
      <c r="L189" s="440">
        <f>F189+170</f>
        <v>1066</v>
      </c>
      <c r="M189" s="279">
        <f t="shared" ref="M189" si="481">+L189*$X$1</f>
        <v>1066</v>
      </c>
      <c r="N189" s="440">
        <f>F189+120</f>
        <v>1016</v>
      </c>
      <c r="O189" s="279">
        <f t="shared" si="475"/>
        <v>1016</v>
      </c>
      <c r="P189" s="440">
        <f>F189+110</f>
        <v>1006</v>
      </c>
      <c r="Q189" s="279">
        <f t="shared" si="476"/>
        <v>1006</v>
      </c>
      <c r="R189" s="440">
        <f>F189+95</f>
        <v>991</v>
      </c>
      <c r="S189" s="279">
        <f t="shared" si="477"/>
        <v>991</v>
      </c>
      <c r="T189" s="440">
        <f>F189+85</f>
        <v>981</v>
      </c>
      <c r="U189" s="279">
        <f t="shared" si="478"/>
        <v>981</v>
      </c>
      <c r="V189" s="440">
        <f>F189+76</f>
        <v>972</v>
      </c>
      <c r="W189" s="279">
        <f t="shared" si="479"/>
        <v>972</v>
      </c>
      <c r="X189" s="778"/>
      <c r="Y189" s="779"/>
      <c r="Z189" s="779"/>
      <c r="AA189" s="780"/>
      <c r="AB189" s="397">
        <v>421</v>
      </c>
    </row>
    <row r="190" spans="1:38" ht="12.6" customHeight="1" x14ac:dyDescent="0.2">
      <c r="A190" s="25"/>
      <c r="B190" s="690" t="s">
        <v>564</v>
      </c>
      <c r="C190" s="691"/>
      <c r="D190" s="691"/>
      <c r="E190" s="691"/>
      <c r="F190" s="369">
        <v>813</v>
      </c>
      <c r="G190" s="295">
        <f t="shared" si="480"/>
        <v>813</v>
      </c>
      <c r="H190" s="952" t="s">
        <v>598</v>
      </c>
      <c r="I190" s="953"/>
      <c r="J190" s="953"/>
      <c r="K190" s="954"/>
      <c r="L190" s="607">
        <f>F190+220</f>
        <v>1033</v>
      </c>
      <c r="M190" s="278">
        <f t="shared" ref="M190" si="482">+L190*$X$1</f>
        <v>1033</v>
      </c>
      <c r="N190" s="607">
        <f>F190+150</f>
        <v>963</v>
      </c>
      <c r="O190" s="278">
        <f t="shared" ref="O190" si="483">+N190*$X$1</f>
        <v>963</v>
      </c>
      <c r="P190" s="607">
        <f>F190+130</f>
        <v>943</v>
      </c>
      <c r="Q190" s="278">
        <f t="shared" ref="Q190" si="484">+P190*$X$1</f>
        <v>943</v>
      </c>
      <c r="R190" s="607">
        <f>F190+115</f>
        <v>928</v>
      </c>
      <c r="S190" s="278">
        <f t="shared" ref="S190" si="485">+R190*$X$1</f>
        <v>928</v>
      </c>
      <c r="T190" s="100">
        <f>F190+108</f>
        <v>921</v>
      </c>
      <c r="U190" s="251">
        <f t="shared" ref="U190" si="486">+T190*$X$1</f>
        <v>921</v>
      </c>
      <c r="V190" s="607">
        <f>F190+101</f>
        <v>914</v>
      </c>
      <c r="W190" s="278">
        <f t="shared" ref="W190" si="487">+V190*$X$1</f>
        <v>914</v>
      </c>
      <c r="X190" s="778"/>
      <c r="Y190" s="779"/>
      <c r="Z190" s="779"/>
      <c r="AA190" s="780"/>
      <c r="AB190" s="397" t="s">
        <v>700</v>
      </c>
    </row>
    <row r="191" spans="1:38" ht="12.6" customHeight="1" x14ac:dyDescent="0.2">
      <c r="A191" s="25"/>
      <c r="B191" s="672" t="s">
        <v>561</v>
      </c>
      <c r="C191" s="673"/>
      <c r="D191" s="673"/>
      <c r="E191" s="673"/>
      <c r="F191" s="368">
        <v>813</v>
      </c>
      <c r="G191" s="308">
        <f t="shared" si="480"/>
        <v>813</v>
      </c>
      <c r="H191" s="955"/>
      <c r="I191" s="956"/>
      <c r="J191" s="956"/>
      <c r="K191" s="957"/>
      <c r="L191" s="440">
        <f t="shared" ref="L191:L194" si="488">F191+220</f>
        <v>1033</v>
      </c>
      <c r="M191" s="279">
        <f t="shared" ref="M191:M193" si="489">+L191*$X$1</f>
        <v>1033</v>
      </c>
      <c r="N191" s="607">
        <f t="shared" ref="N191:N194" si="490">F191+150</f>
        <v>963</v>
      </c>
      <c r="O191" s="279">
        <f t="shared" ref="O191:O193" si="491">+N191*$X$1</f>
        <v>963</v>
      </c>
      <c r="P191" s="440">
        <f t="shared" ref="P191:P194" si="492">F191+130</f>
        <v>943</v>
      </c>
      <c r="Q191" s="279">
        <f t="shared" ref="Q191:Q194" si="493">+P191*$X$1</f>
        <v>943</v>
      </c>
      <c r="R191" s="607">
        <f t="shared" ref="R191:R194" si="494">F191+115</f>
        <v>928</v>
      </c>
      <c r="S191" s="279">
        <f t="shared" ref="S191:S193" si="495">+R191*$X$1</f>
        <v>928</v>
      </c>
      <c r="T191" s="100">
        <f t="shared" ref="T191:T194" si="496">F191+108</f>
        <v>921</v>
      </c>
      <c r="U191" s="294">
        <f t="shared" ref="U191:U193" si="497">+T191*$X$1</f>
        <v>921</v>
      </c>
      <c r="V191" s="607">
        <f t="shared" ref="V191:V194" si="498">F191+101</f>
        <v>914</v>
      </c>
      <c r="W191" s="279">
        <f t="shared" ref="W191:W193" si="499">+V191*$X$1</f>
        <v>914</v>
      </c>
      <c r="X191" s="778"/>
      <c r="Y191" s="779"/>
      <c r="Z191" s="779"/>
      <c r="AA191" s="780"/>
      <c r="AB191" s="397" t="s">
        <v>695</v>
      </c>
    </row>
    <row r="192" spans="1:38" ht="12.6" customHeight="1" x14ac:dyDescent="0.2">
      <c r="A192" s="25"/>
      <c r="B192" s="690" t="s">
        <v>560</v>
      </c>
      <c r="C192" s="691"/>
      <c r="D192" s="691"/>
      <c r="E192" s="691"/>
      <c r="F192" s="369">
        <v>813</v>
      </c>
      <c r="G192" s="295">
        <f t="shared" si="480"/>
        <v>813</v>
      </c>
      <c r="H192" s="955"/>
      <c r="I192" s="956"/>
      <c r="J192" s="956"/>
      <c r="K192" s="957"/>
      <c r="L192" s="607">
        <f t="shared" si="488"/>
        <v>1033</v>
      </c>
      <c r="M192" s="278">
        <f t="shared" si="489"/>
        <v>1033</v>
      </c>
      <c r="N192" s="607">
        <f t="shared" si="490"/>
        <v>963</v>
      </c>
      <c r="O192" s="278">
        <f t="shared" si="491"/>
        <v>963</v>
      </c>
      <c r="P192" s="607">
        <f t="shared" si="492"/>
        <v>943</v>
      </c>
      <c r="Q192" s="278">
        <f t="shared" si="493"/>
        <v>943</v>
      </c>
      <c r="R192" s="607">
        <f t="shared" si="494"/>
        <v>928</v>
      </c>
      <c r="S192" s="278">
        <f t="shared" si="495"/>
        <v>928</v>
      </c>
      <c r="T192" s="100">
        <f t="shared" si="496"/>
        <v>921</v>
      </c>
      <c r="U192" s="251">
        <f t="shared" si="497"/>
        <v>921</v>
      </c>
      <c r="V192" s="607">
        <f t="shared" si="498"/>
        <v>914</v>
      </c>
      <c r="W192" s="278">
        <f t="shared" si="499"/>
        <v>914</v>
      </c>
      <c r="X192" s="778"/>
      <c r="Y192" s="779"/>
      <c r="Z192" s="779"/>
      <c r="AA192" s="780"/>
      <c r="AB192" s="397" t="s">
        <v>697</v>
      </c>
    </row>
    <row r="193" spans="1:38" ht="12.6" customHeight="1" x14ac:dyDescent="0.2">
      <c r="A193" s="25"/>
      <c r="B193" s="672" t="s">
        <v>563</v>
      </c>
      <c r="C193" s="673"/>
      <c r="D193" s="673"/>
      <c r="E193" s="673"/>
      <c r="F193" s="368">
        <v>813</v>
      </c>
      <c r="G193" s="308">
        <f t="shared" si="480"/>
        <v>813</v>
      </c>
      <c r="H193" s="955"/>
      <c r="I193" s="956"/>
      <c r="J193" s="956"/>
      <c r="K193" s="957"/>
      <c r="L193" s="440">
        <f t="shared" si="488"/>
        <v>1033</v>
      </c>
      <c r="M193" s="279">
        <f t="shared" si="489"/>
        <v>1033</v>
      </c>
      <c r="N193" s="607">
        <f t="shared" si="490"/>
        <v>963</v>
      </c>
      <c r="O193" s="279">
        <f t="shared" si="491"/>
        <v>963</v>
      </c>
      <c r="P193" s="440">
        <f t="shared" si="492"/>
        <v>943</v>
      </c>
      <c r="Q193" s="279">
        <f t="shared" si="493"/>
        <v>943</v>
      </c>
      <c r="R193" s="607">
        <f t="shared" si="494"/>
        <v>928</v>
      </c>
      <c r="S193" s="279">
        <f t="shared" si="495"/>
        <v>928</v>
      </c>
      <c r="T193" s="100">
        <f t="shared" si="496"/>
        <v>921</v>
      </c>
      <c r="U193" s="294">
        <f t="shared" si="497"/>
        <v>921</v>
      </c>
      <c r="V193" s="607">
        <f t="shared" si="498"/>
        <v>914</v>
      </c>
      <c r="W193" s="279">
        <f t="shared" si="499"/>
        <v>914</v>
      </c>
      <c r="X193" s="1100"/>
      <c r="Y193" s="1101"/>
      <c r="Z193" s="1101"/>
      <c r="AA193" s="1102"/>
      <c r="AB193" s="397" t="s">
        <v>696</v>
      </c>
    </row>
    <row r="194" spans="1:38" ht="12.6" customHeight="1" x14ac:dyDescent="0.2">
      <c r="A194" s="25"/>
      <c r="B194" s="690" t="s">
        <v>699</v>
      </c>
      <c r="C194" s="691"/>
      <c r="D194" s="691"/>
      <c r="E194" s="691"/>
      <c r="F194" s="369">
        <v>890</v>
      </c>
      <c r="G194" s="295">
        <f t="shared" ref="G194" si="500">+F194*$X$1</f>
        <v>890</v>
      </c>
      <c r="H194" s="955"/>
      <c r="I194" s="956"/>
      <c r="J194" s="956"/>
      <c r="K194" s="957"/>
      <c r="L194" s="607">
        <f t="shared" si="488"/>
        <v>1110</v>
      </c>
      <c r="M194" s="278">
        <f t="shared" ref="M194" si="501">+L194*$X$1</f>
        <v>1110</v>
      </c>
      <c r="N194" s="607">
        <f t="shared" si="490"/>
        <v>1040</v>
      </c>
      <c r="O194" s="278">
        <f t="shared" ref="O194" si="502">+N194*$X$1</f>
        <v>1040</v>
      </c>
      <c r="P194" s="607">
        <f t="shared" si="492"/>
        <v>1020</v>
      </c>
      <c r="Q194" s="278">
        <f t="shared" si="493"/>
        <v>1020</v>
      </c>
      <c r="R194" s="607">
        <f t="shared" si="494"/>
        <v>1005</v>
      </c>
      <c r="S194" s="278">
        <f t="shared" ref="S194" si="503">+R194*$X$1</f>
        <v>1005</v>
      </c>
      <c r="T194" s="100">
        <f t="shared" si="496"/>
        <v>998</v>
      </c>
      <c r="U194" s="251">
        <f t="shared" ref="U194" si="504">+T194*$X$1</f>
        <v>998</v>
      </c>
      <c r="V194" s="607">
        <f t="shared" si="498"/>
        <v>991</v>
      </c>
      <c r="W194" s="278">
        <f t="shared" ref="W194" si="505">+V194*$X$1</f>
        <v>991</v>
      </c>
      <c r="X194" s="778"/>
      <c r="Y194" s="779"/>
      <c r="Z194" s="779"/>
      <c r="AA194" s="780"/>
      <c r="AB194" s="397" t="s">
        <v>698</v>
      </c>
    </row>
    <row r="195" spans="1:38" ht="12.6" customHeight="1" x14ac:dyDescent="0.2">
      <c r="A195" s="25"/>
      <c r="B195" s="672" t="s">
        <v>562</v>
      </c>
      <c r="C195" s="673"/>
      <c r="D195" s="673"/>
      <c r="E195" s="673"/>
      <c r="F195" s="368">
        <v>906</v>
      </c>
      <c r="G195" s="308">
        <f t="shared" si="480"/>
        <v>906</v>
      </c>
      <c r="H195" s="958"/>
      <c r="I195" s="959"/>
      <c r="J195" s="959"/>
      <c r="K195" s="960"/>
      <c r="L195" s="440">
        <f>F195+250</f>
        <v>1156</v>
      </c>
      <c r="M195" s="279">
        <f t="shared" ref="M195:M199" si="506">+L195*$X$1</f>
        <v>1156</v>
      </c>
      <c r="N195" s="440">
        <f>F195+180</f>
        <v>1086</v>
      </c>
      <c r="O195" s="279">
        <f t="shared" ref="O195:O199" si="507">+N195*$X$1</f>
        <v>1086</v>
      </c>
      <c r="P195" s="440">
        <f>F195+160</f>
        <v>1066</v>
      </c>
      <c r="Q195" s="279">
        <f t="shared" ref="Q195:Q199" si="508">+P195*$X$1</f>
        <v>1066</v>
      </c>
      <c r="R195" s="440">
        <f>F195+145</f>
        <v>1051</v>
      </c>
      <c r="S195" s="279">
        <f t="shared" ref="S195:S199" si="509">+R195*$X$1</f>
        <v>1051</v>
      </c>
      <c r="T195" s="99">
        <f>F195+135</f>
        <v>1041</v>
      </c>
      <c r="U195" s="294">
        <f t="shared" ref="U195:U199" si="510">+T195*$X$1</f>
        <v>1041</v>
      </c>
      <c r="V195" s="440">
        <f>F195+130</f>
        <v>1036</v>
      </c>
      <c r="W195" s="279">
        <f t="shared" ref="W195:W199" si="511">+V195*$X$1</f>
        <v>1036</v>
      </c>
      <c r="X195" s="778"/>
      <c r="Y195" s="779"/>
      <c r="Z195" s="779"/>
      <c r="AA195" s="780"/>
      <c r="AB195" s="397" t="s">
        <v>694</v>
      </c>
    </row>
    <row r="196" spans="1:38" ht="12.6" customHeight="1" x14ac:dyDescent="0.2">
      <c r="A196" s="101"/>
      <c r="B196" s="1107" t="s">
        <v>936</v>
      </c>
      <c r="C196" s="1108"/>
      <c r="D196" s="1108"/>
      <c r="E196" s="1108"/>
      <c r="F196" s="479">
        <f>0.89*X2</f>
        <v>977.22</v>
      </c>
      <c r="G196" s="570">
        <f t="shared" si="480"/>
        <v>977.22</v>
      </c>
      <c r="H196" s="374"/>
      <c r="I196" s="319"/>
      <c r="J196" s="601"/>
      <c r="K196" s="319"/>
      <c r="L196" s="607">
        <f t="shared" ref="L196:L199" si="512">F196+150</f>
        <v>1127.22</v>
      </c>
      <c r="M196" s="278">
        <f t="shared" si="506"/>
        <v>1127.22</v>
      </c>
      <c r="N196" s="607">
        <f t="shared" ref="N196:N199" si="513">F196+110</f>
        <v>1087.22</v>
      </c>
      <c r="O196" s="278">
        <f t="shared" si="507"/>
        <v>1087.22</v>
      </c>
      <c r="P196" s="607">
        <f t="shared" ref="P196:P199" si="514">F196+100</f>
        <v>1077.22</v>
      </c>
      <c r="Q196" s="278">
        <f t="shared" si="508"/>
        <v>1077.22</v>
      </c>
      <c r="R196" s="607">
        <f t="shared" ref="R196:R199" si="515">F196+80</f>
        <v>1057.22</v>
      </c>
      <c r="S196" s="278">
        <f t="shared" si="509"/>
        <v>1057.22</v>
      </c>
      <c r="T196" s="607">
        <f t="shared" ref="T196:T199" si="516">F196+65</f>
        <v>1042.22</v>
      </c>
      <c r="U196" s="278">
        <f t="shared" si="510"/>
        <v>1042.22</v>
      </c>
      <c r="V196" s="607">
        <f t="shared" ref="V196:V199" si="517">F196+56</f>
        <v>1033.22</v>
      </c>
      <c r="W196" s="278">
        <f t="shared" si="511"/>
        <v>1033.22</v>
      </c>
      <c r="X196" s="144"/>
      <c r="Y196" s="153"/>
      <c r="Z196" s="144"/>
      <c r="AA196" s="144"/>
      <c r="AB196" s="189">
        <v>425</v>
      </c>
    </row>
    <row r="197" spans="1:38" ht="12.6" customHeight="1" x14ac:dyDescent="0.2">
      <c r="A197" s="101"/>
      <c r="B197" s="672" t="s">
        <v>829</v>
      </c>
      <c r="C197" s="712"/>
      <c r="D197" s="712"/>
      <c r="E197" s="712"/>
      <c r="F197" s="365">
        <f>0.6*X2</f>
        <v>658.8</v>
      </c>
      <c r="G197" s="279">
        <f t="shared" ref="G197" si="518">+F197*$X$1</f>
        <v>658.8</v>
      </c>
      <c r="H197" s="97"/>
      <c r="I197" s="318"/>
      <c r="J197" s="600"/>
      <c r="K197" s="318"/>
      <c r="L197" s="440">
        <f t="shared" si="512"/>
        <v>808.8</v>
      </c>
      <c r="M197" s="279">
        <f t="shared" si="506"/>
        <v>808.8</v>
      </c>
      <c r="N197" s="440">
        <f t="shared" si="513"/>
        <v>768.8</v>
      </c>
      <c r="O197" s="279">
        <f t="shared" si="507"/>
        <v>768.8</v>
      </c>
      <c r="P197" s="440">
        <f t="shared" si="514"/>
        <v>758.8</v>
      </c>
      <c r="Q197" s="279">
        <f t="shared" si="508"/>
        <v>758.8</v>
      </c>
      <c r="R197" s="440">
        <f t="shared" si="515"/>
        <v>738.8</v>
      </c>
      <c r="S197" s="279">
        <f t="shared" si="509"/>
        <v>738.8</v>
      </c>
      <c r="T197" s="440">
        <f t="shared" si="516"/>
        <v>723.8</v>
      </c>
      <c r="U197" s="279">
        <f t="shared" si="510"/>
        <v>723.8</v>
      </c>
      <c r="V197" s="440">
        <f t="shared" si="517"/>
        <v>714.8</v>
      </c>
      <c r="W197" s="279">
        <f t="shared" si="511"/>
        <v>714.8</v>
      </c>
      <c r="X197" s="144"/>
      <c r="Y197" s="153"/>
      <c r="Z197" s="144"/>
      <c r="AA197" s="144"/>
      <c r="AB197" s="189">
        <v>426</v>
      </c>
    </row>
    <row r="198" spans="1:38" ht="12.6" customHeight="1" x14ac:dyDescent="0.2">
      <c r="A198" s="101"/>
      <c r="B198" s="690" t="s">
        <v>477</v>
      </c>
      <c r="C198" s="691"/>
      <c r="D198" s="691"/>
      <c r="E198" s="691"/>
      <c r="F198" s="364">
        <f>1.006*X2</f>
        <v>1104.588</v>
      </c>
      <c r="G198" s="278">
        <f t="shared" si="480"/>
        <v>1104.588</v>
      </c>
      <c r="H198" s="374"/>
      <c r="I198" s="319"/>
      <c r="J198" s="601"/>
      <c r="K198" s="319"/>
      <c r="L198" s="607">
        <f t="shared" si="512"/>
        <v>1254.588</v>
      </c>
      <c r="M198" s="278">
        <f t="shared" si="506"/>
        <v>1254.588</v>
      </c>
      <c r="N198" s="607">
        <f t="shared" si="513"/>
        <v>1214.588</v>
      </c>
      <c r="O198" s="278">
        <f t="shared" si="507"/>
        <v>1214.588</v>
      </c>
      <c r="P198" s="607">
        <f t="shared" si="514"/>
        <v>1204.588</v>
      </c>
      <c r="Q198" s="278">
        <f t="shared" si="508"/>
        <v>1204.588</v>
      </c>
      <c r="R198" s="607">
        <f t="shared" si="515"/>
        <v>1184.588</v>
      </c>
      <c r="S198" s="278">
        <f t="shared" si="509"/>
        <v>1184.588</v>
      </c>
      <c r="T198" s="607">
        <f t="shared" si="516"/>
        <v>1169.588</v>
      </c>
      <c r="U198" s="278">
        <f t="shared" si="510"/>
        <v>1169.588</v>
      </c>
      <c r="V198" s="607">
        <f t="shared" si="517"/>
        <v>1160.588</v>
      </c>
      <c r="W198" s="278">
        <f t="shared" si="511"/>
        <v>1160.588</v>
      </c>
      <c r="X198" s="144"/>
      <c r="Y198" s="153"/>
      <c r="Z198" s="144"/>
      <c r="AA198" s="144"/>
      <c r="AB198" s="189" t="s">
        <v>526</v>
      </c>
    </row>
    <row r="199" spans="1:38" ht="12.6" customHeight="1" x14ac:dyDescent="0.2">
      <c r="A199" s="101"/>
      <c r="B199" s="751" t="s">
        <v>467</v>
      </c>
      <c r="C199" s="752"/>
      <c r="D199" s="752"/>
      <c r="E199" s="752"/>
      <c r="F199" s="515">
        <f>0.51*X2</f>
        <v>559.98</v>
      </c>
      <c r="G199" s="511">
        <f t="shared" ref="G199:G200" si="519">+F199*$X$1</f>
        <v>559.98</v>
      </c>
      <c r="H199" s="633"/>
      <c r="I199" s="634"/>
      <c r="J199" s="635"/>
      <c r="K199" s="634"/>
      <c r="L199" s="616">
        <f t="shared" si="512"/>
        <v>709.98</v>
      </c>
      <c r="M199" s="511">
        <f t="shared" si="506"/>
        <v>709.98</v>
      </c>
      <c r="N199" s="616">
        <f t="shared" si="513"/>
        <v>669.98</v>
      </c>
      <c r="O199" s="511">
        <f t="shared" si="507"/>
        <v>669.98</v>
      </c>
      <c r="P199" s="616">
        <f t="shared" si="514"/>
        <v>659.98</v>
      </c>
      <c r="Q199" s="511">
        <f t="shared" si="508"/>
        <v>659.98</v>
      </c>
      <c r="R199" s="616">
        <f t="shared" si="515"/>
        <v>639.98</v>
      </c>
      <c r="S199" s="511">
        <f t="shared" si="509"/>
        <v>639.98</v>
      </c>
      <c r="T199" s="616">
        <f t="shared" si="516"/>
        <v>624.98</v>
      </c>
      <c r="U199" s="511">
        <f t="shared" si="510"/>
        <v>624.98</v>
      </c>
      <c r="V199" s="616">
        <f t="shared" si="517"/>
        <v>615.98</v>
      </c>
      <c r="W199" s="511">
        <f t="shared" si="511"/>
        <v>615.98</v>
      </c>
      <c r="X199" s="144"/>
      <c r="Y199" s="153"/>
      <c r="Z199" s="144"/>
      <c r="AA199" s="144"/>
      <c r="AB199" s="189">
        <v>428</v>
      </c>
    </row>
    <row r="200" spans="1:38" s="1" customFormat="1" ht="12.6" customHeight="1" x14ac:dyDescent="0.2">
      <c r="A200" s="19"/>
      <c r="B200" s="760" t="s">
        <v>934</v>
      </c>
      <c r="C200" s="761"/>
      <c r="D200" s="761"/>
      <c r="E200" s="762"/>
      <c r="F200" s="505">
        <f>11.62*X2</f>
        <v>12758.759999999998</v>
      </c>
      <c r="G200" s="278">
        <f t="shared" si="519"/>
        <v>12758.759999999998</v>
      </c>
      <c r="H200" s="70">
        <f>F200+600</f>
        <v>13358.759999999998</v>
      </c>
      <c r="I200" s="278">
        <f t="shared" ref="I200:I201" si="520">+H200*$X$1</f>
        <v>13358.759999999998</v>
      </c>
      <c r="J200" s="607">
        <f>F200+220</f>
        <v>12978.759999999998</v>
      </c>
      <c r="K200" s="278">
        <f t="shared" ref="K200:K201" si="521">+J200*$X$1</f>
        <v>12978.759999999998</v>
      </c>
      <c r="L200" s="607">
        <f>F200+170</f>
        <v>12928.759999999998</v>
      </c>
      <c r="M200" s="278">
        <f t="shared" ref="M200:M201" si="522">+L200*$X$1</f>
        <v>12928.759999999998</v>
      </c>
      <c r="N200" s="607">
        <f>F200+120</f>
        <v>12878.759999999998</v>
      </c>
      <c r="O200" s="278">
        <f t="shared" ref="O200" si="523">+N200*$X$1</f>
        <v>12878.759999999998</v>
      </c>
      <c r="P200" s="607">
        <f>F200+110</f>
        <v>12868.759999999998</v>
      </c>
      <c r="Q200" s="278">
        <f t="shared" ref="Q200:Q201" si="524">+P200*$X$1</f>
        <v>12868.759999999998</v>
      </c>
      <c r="R200" s="607">
        <f>F200+95</f>
        <v>12853.759999999998</v>
      </c>
      <c r="S200" s="278">
        <f t="shared" ref="S200" si="525">+R200*$X$1</f>
        <v>12853.759999999998</v>
      </c>
      <c r="T200" s="607">
        <f>F200+85</f>
        <v>12843.759999999998</v>
      </c>
      <c r="U200" s="278">
        <f t="shared" ref="U200:U201" si="526">+T200*$X$1</f>
        <v>12843.759999999998</v>
      </c>
      <c r="V200" s="607">
        <f>F200+76</f>
        <v>12834.759999999998</v>
      </c>
      <c r="W200" s="278">
        <f t="shared" ref="W200:W201" si="527">+V200*$X$1</f>
        <v>12834.759999999998</v>
      </c>
      <c r="X200" s="581"/>
      <c r="Y200" s="582"/>
      <c r="Z200" s="582"/>
      <c r="AA200" s="583"/>
      <c r="AB200" s="189">
        <v>430</v>
      </c>
      <c r="AC200" s="4"/>
      <c r="AD200" s="4"/>
      <c r="AE200" s="4"/>
      <c r="AF200" s="4"/>
      <c r="AG200" s="4"/>
      <c r="AH200" s="125"/>
      <c r="AI200" s="4"/>
      <c r="AJ200" s="4"/>
      <c r="AK200" s="4"/>
      <c r="AL200" s="4"/>
    </row>
    <row r="201" spans="1:38" s="1" customFormat="1" ht="12.6" customHeight="1" x14ac:dyDescent="0.2">
      <c r="A201" s="19"/>
      <c r="B201" s="760" t="s">
        <v>935</v>
      </c>
      <c r="C201" s="761"/>
      <c r="D201" s="761"/>
      <c r="E201" s="762"/>
      <c r="F201" s="561">
        <f>12.7*X2</f>
        <v>13944.599999999999</v>
      </c>
      <c r="G201" s="279">
        <f t="shared" ref="G201" si="528">+F201*$X$1</f>
        <v>13944.599999999999</v>
      </c>
      <c r="H201" s="440">
        <f>F201+600</f>
        <v>14544.599999999999</v>
      </c>
      <c r="I201" s="279">
        <f t="shared" si="520"/>
        <v>14544.599999999999</v>
      </c>
      <c r="J201" s="440">
        <f>F201+200</f>
        <v>14144.599999999999</v>
      </c>
      <c r="K201" s="279">
        <f t="shared" si="521"/>
        <v>14144.599999999999</v>
      </c>
      <c r="L201" s="440">
        <f>F201+150</f>
        <v>14094.599999999999</v>
      </c>
      <c r="M201" s="279">
        <f t="shared" si="522"/>
        <v>14094.599999999999</v>
      </c>
      <c r="N201" s="440">
        <f>F201+100</f>
        <v>14044.599999999999</v>
      </c>
      <c r="O201" s="279">
        <f>+N201*$X$1</f>
        <v>14044.599999999999</v>
      </c>
      <c r="P201" s="440">
        <f>F201+90</f>
        <v>14034.599999999999</v>
      </c>
      <c r="Q201" s="279">
        <f t="shared" si="524"/>
        <v>14034.599999999999</v>
      </c>
      <c r="R201" s="440">
        <f>F201+70</f>
        <v>14014.599999999999</v>
      </c>
      <c r="S201" s="279">
        <f>+R201*$X$1</f>
        <v>14014.599999999999</v>
      </c>
      <c r="T201" s="440">
        <f>F201+56</f>
        <v>14000.599999999999</v>
      </c>
      <c r="U201" s="279">
        <f t="shared" si="526"/>
        <v>14000.599999999999</v>
      </c>
      <c r="V201" s="440">
        <f>F201+49</f>
        <v>13993.599999999999</v>
      </c>
      <c r="W201" s="279">
        <f t="shared" si="527"/>
        <v>13993.599999999999</v>
      </c>
      <c r="X201" s="587"/>
      <c r="Y201" s="589"/>
      <c r="Z201" s="589"/>
      <c r="AA201" s="588"/>
      <c r="AB201" s="189">
        <v>431</v>
      </c>
      <c r="AC201" s="4"/>
      <c r="AD201" s="4"/>
      <c r="AE201" s="4"/>
      <c r="AF201" s="4"/>
      <c r="AG201" s="4"/>
      <c r="AH201" s="125"/>
      <c r="AI201" s="4"/>
      <c r="AJ201" s="4"/>
      <c r="AK201" s="4"/>
      <c r="AL201" s="4"/>
    </row>
    <row r="202" spans="1:38" ht="12.6" customHeight="1" x14ac:dyDescent="0.2">
      <c r="A202" s="18"/>
      <c r="B202" s="690" t="s">
        <v>182</v>
      </c>
      <c r="C202" s="691"/>
      <c r="D202" s="691"/>
      <c r="E202" s="691"/>
      <c r="F202" s="364">
        <f>1.53*X2</f>
        <v>1679.94</v>
      </c>
      <c r="G202" s="278">
        <f t="shared" si="480"/>
        <v>1679.94</v>
      </c>
      <c r="H202" s="607">
        <f>F202+600</f>
        <v>2279.94</v>
      </c>
      <c r="I202" s="278">
        <f t="shared" ref="I202" si="529">+H202*$X$1</f>
        <v>2279.94</v>
      </c>
      <c r="J202" s="70">
        <f>F202+200</f>
        <v>1879.94</v>
      </c>
      <c r="K202" s="278">
        <f t="shared" ref="K202" si="530">+J202*$X$1</f>
        <v>1879.94</v>
      </c>
      <c r="L202" s="607">
        <f t="shared" ref="L202" si="531">F202+150</f>
        <v>1829.94</v>
      </c>
      <c r="M202" s="278">
        <f t="shared" ref="M202" si="532">+L202*$X$1</f>
        <v>1829.94</v>
      </c>
      <c r="N202" s="607">
        <f t="shared" ref="N202" si="533">F202+110</f>
        <v>1789.94</v>
      </c>
      <c r="O202" s="278">
        <f t="shared" ref="O202" si="534">+N202*$X$1</f>
        <v>1789.94</v>
      </c>
      <c r="P202" s="607">
        <f t="shared" ref="P202" si="535">F202+100</f>
        <v>1779.94</v>
      </c>
      <c r="Q202" s="278">
        <f t="shared" ref="Q202" si="536">+P202*$X$1</f>
        <v>1779.94</v>
      </c>
      <c r="R202" s="607">
        <f t="shared" ref="R202" si="537">F202+80</f>
        <v>1759.94</v>
      </c>
      <c r="S202" s="278">
        <f t="shared" ref="S202" si="538">+R202*$X$1</f>
        <v>1759.94</v>
      </c>
      <c r="T202" s="607">
        <f t="shared" ref="T202" si="539">F202+65</f>
        <v>1744.94</v>
      </c>
      <c r="U202" s="278">
        <f t="shared" ref="U202" si="540">+T202*$X$1</f>
        <v>1744.94</v>
      </c>
      <c r="V202" s="607">
        <f t="shared" ref="V202" si="541">F202+56</f>
        <v>1735.94</v>
      </c>
      <c r="W202" s="278">
        <f t="shared" ref="W202" si="542">+V202*$X$1</f>
        <v>1735.94</v>
      </c>
      <c r="X202" s="144"/>
      <c r="Y202" s="153"/>
      <c r="Z202" s="144"/>
      <c r="AA202" s="144"/>
      <c r="AB202" s="189">
        <v>442</v>
      </c>
    </row>
    <row r="203" spans="1:38" ht="12.6" customHeight="1" x14ac:dyDescent="0.2">
      <c r="A203" s="18"/>
      <c r="B203" s="659" t="s">
        <v>183</v>
      </c>
      <c r="C203" s="660"/>
      <c r="D203" s="660"/>
      <c r="E203" s="660"/>
      <c r="F203" s="358"/>
      <c r="G203" s="714" t="s">
        <v>818</v>
      </c>
      <c r="H203" s="715"/>
      <c r="I203" s="715"/>
      <c r="J203" s="715"/>
      <c r="K203" s="715"/>
      <c r="L203" s="715"/>
      <c r="M203" s="715"/>
      <c r="N203" s="715"/>
      <c r="O203" s="715"/>
      <c r="P203" s="716"/>
      <c r="Q203" s="716"/>
      <c r="R203" s="716"/>
      <c r="S203" s="717"/>
      <c r="T203" s="70"/>
      <c r="U203" s="279"/>
      <c r="V203" s="99"/>
      <c r="W203" s="294"/>
      <c r="X203" s="154"/>
      <c r="Y203" s="153"/>
      <c r="Z203" s="144"/>
      <c r="AA203" s="144"/>
      <c r="AB203" s="189">
        <v>450</v>
      </c>
    </row>
    <row r="204" spans="1:38" ht="12.6" customHeight="1" x14ac:dyDescent="0.2">
      <c r="A204" s="18"/>
      <c r="B204" s="690" t="s">
        <v>184</v>
      </c>
      <c r="C204" s="691"/>
      <c r="D204" s="691"/>
      <c r="E204" s="691"/>
      <c r="F204" s="124"/>
      <c r="G204" s="718"/>
      <c r="H204" s="719"/>
      <c r="I204" s="719"/>
      <c r="J204" s="719"/>
      <c r="K204" s="719"/>
      <c r="L204" s="719"/>
      <c r="M204" s="719"/>
      <c r="N204" s="719"/>
      <c r="O204" s="719"/>
      <c r="P204" s="720"/>
      <c r="Q204" s="721"/>
      <c r="R204" s="720"/>
      <c r="S204" s="722"/>
      <c r="T204" s="70"/>
      <c r="U204" s="278"/>
      <c r="V204" s="100"/>
      <c r="W204" s="251"/>
      <c r="X204" s="154"/>
      <c r="Y204" s="153"/>
      <c r="Z204" s="144"/>
      <c r="AA204" s="144"/>
      <c r="AB204" s="189">
        <v>451</v>
      </c>
    </row>
    <row r="205" spans="1:38" ht="12.6" customHeight="1" x14ac:dyDescent="0.2">
      <c r="A205" s="18"/>
      <c r="B205" s="672" t="s">
        <v>185</v>
      </c>
      <c r="C205" s="673"/>
      <c r="D205" s="673"/>
      <c r="E205" s="673"/>
      <c r="F205" s="89"/>
      <c r="G205" s="718"/>
      <c r="H205" s="719"/>
      <c r="I205" s="719"/>
      <c r="J205" s="719"/>
      <c r="K205" s="719"/>
      <c r="L205" s="719"/>
      <c r="M205" s="719"/>
      <c r="N205" s="719"/>
      <c r="O205" s="719"/>
      <c r="P205" s="720"/>
      <c r="Q205" s="721"/>
      <c r="R205" s="720"/>
      <c r="S205" s="722"/>
      <c r="T205" s="70"/>
      <c r="U205" s="279"/>
      <c r="V205" s="99"/>
      <c r="W205" s="294"/>
      <c r="X205" s="154"/>
      <c r="Y205" s="153"/>
      <c r="Z205" s="144"/>
      <c r="AA205" s="144"/>
      <c r="AB205" s="189">
        <v>452</v>
      </c>
    </row>
    <row r="206" spans="1:38" ht="12.6" customHeight="1" x14ac:dyDescent="0.2">
      <c r="A206" s="18"/>
      <c r="B206" s="690" t="s">
        <v>186</v>
      </c>
      <c r="C206" s="691"/>
      <c r="D206" s="691"/>
      <c r="E206" s="691"/>
      <c r="F206" s="124"/>
      <c r="G206" s="718"/>
      <c r="H206" s="719"/>
      <c r="I206" s="719"/>
      <c r="J206" s="719"/>
      <c r="K206" s="719"/>
      <c r="L206" s="719"/>
      <c r="M206" s="719"/>
      <c r="N206" s="719"/>
      <c r="O206" s="719"/>
      <c r="P206" s="720"/>
      <c r="Q206" s="721"/>
      <c r="R206" s="720"/>
      <c r="S206" s="722"/>
      <c r="T206" s="70"/>
      <c r="U206" s="278"/>
      <c r="V206" s="100"/>
      <c r="W206" s="251"/>
      <c r="X206" s="154"/>
      <c r="Y206" s="153"/>
      <c r="Z206" s="144"/>
      <c r="AA206" s="144"/>
      <c r="AB206" s="189">
        <v>453</v>
      </c>
    </row>
    <row r="207" spans="1:38" ht="12.6" customHeight="1" x14ac:dyDescent="0.2">
      <c r="A207" s="18"/>
      <c r="B207" s="672" t="s">
        <v>187</v>
      </c>
      <c r="C207" s="673"/>
      <c r="D207" s="673"/>
      <c r="E207" s="673"/>
      <c r="F207" s="89"/>
      <c r="G207" s="718"/>
      <c r="H207" s="719"/>
      <c r="I207" s="719"/>
      <c r="J207" s="719"/>
      <c r="K207" s="719"/>
      <c r="L207" s="719"/>
      <c r="M207" s="719"/>
      <c r="N207" s="719"/>
      <c r="O207" s="719"/>
      <c r="P207" s="720"/>
      <c r="Q207" s="721"/>
      <c r="R207" s="720"/>
      <c r="S207" s="722"/>
      <c r="T207" s="70"/>
      <c r="U207" s="279"/>
      <c r="V207" s="99"/>
      <c r="W207" s="294"/>
      <c r="X207" s="154"/>
      <c r="Y207" s="153"/>
      <c r="Z207" s="144"/>
      <c r="AA207" s="144"/>
      <c r="AB207" s="189">
        <v>454</v>
      </c>
    </row>
    <row r="208" spans="1:38" ht="12.6" customHeight="1" x14ac:dyDescent="0.2">
      <c r="A208" s="18"/>
      <c r="B208" s="690" t="s">
        <v>188</v>
      </c>
      <c r="C208" s="691"/>
      <c r="D208" s="691"/>
      <c r="E208" s="691"/>
      <c r="F208" s="357"/>
      <c r="G208" s="723"/>
      <c r="H208" s="724"/>
      <c r="I208" s="724"/>
      <c r="J208" s="724"/>
      <c r="K208" s="724"/>
      <c r="L208" s="724"/>
      <c r="M208" s="724"/>
      <c r="N208" s="724"/>
      <c r="O208" s="724"/>
      <c r="P208" s="725"/>
      <c r="Q208" s="725"/>
      <c r="R208" s="725"/>
      <c r="S208" s="726"/>
      <c r="T208" s="70"/>
      <c r="U208" s="278"/>
      <c r="V208" s="100"/>
      <c r="W208" s="251"/>
      <c r="X208" s="154"/>
      <c r="Y208" s="153"/>
      <c r="Z208" s="144"/>
      <c r="AA208" s="144"/>
      <c r="AB208" s="189">
        <v>460</v>
      </c>
    </row>
    <row r="209" spans="1:28" ht="12.6" customHeight="1" x14ac:dyDescent="0.2">
      <c r="A209" s="18"/>
      <c r="B209" s="672" t="s">
        <v>355</v>
      </c>
      <c r="C209" s="745"/>
      <c r="D209" s="745"/>
      <c r="E209" s="745"/>
      <c r="F209" s="365">
        <f>1.974*X2</f>
        <v>2167.4519999999998</v>
      </c>
      <c r="G209" s="482">
        <f t="shared" ref="G209:G211" si="543">+F209*$X$1</f>
        <v>2167.4519999999998</v>
      </c>
      <c r="H209" s="440"/>
      <c r="I209" s="279"/>
      <c r="J209" s="87">
        <f t="shared" ref="J209:J214" si="544">F209+200</f>
        <v>2367.4519999999998</v>
      </c>
      <c r="K209" s="279">
        <f t="shared" ref="K209" si="545">+J209*$X$1</f>
        <v>2367.4519999999998</v>
      </c>
      <c r="L209" s="440">
        <f t="shared" ref="L209" si="546">F209+150</f>
        <v>2317.4519999999998</v>
      </c>
      <c r="M209" s="279">
        <f t="shared" ref="M209" si="547">+L209*$X$1</f>
        <v>2317.4519999999998</v>
      </c>
      <c r="N209" s="440">
        <f t="shared" ref="N209" si="548">F209+110</f>
        <v>2277.4519999999998</v>
      </c>
      <c r="O209" s="279">
        <f t="shared" ref="O209" si="549">+N209*$X$1</f>
        <v>2277.4519999999998</v>
      </c>
      <c r="P209" s="440">
        <f t="shared" ref="P209" si="550">F209+100</f>
        <v>2267.4519999999998</v>
      </c>
      <c r="Q209" s="279">
        <f t="shared" ref="Q209" si="551">+P209*$X$1</f>
        <v>2267.4519999999998</v>
      </c>
      <c r="R209" s="440">
        <f t="shared" ref="R209" si="552">F209+80</f>
        <v>2247.4519999999998</v>
      </c>
      <c r="S209" s="279">
        <f t="shared" ref="S209" si="553">+R209*$X$1</f>
        <v>2247.4519999999998</v>
      </c>
      <c r="T209" s="440">
        <f t="shared" ref="T209" si="554">F209+65</f>
        <v>2232.4519999999998</v>
      </c>
      <c r="U209" s="279">
        <f t="shared" ref="U209" si="555">+T209*$X$1</f>
        <v>2232.4519999999998</v>
      </c>
      <c r="V209" s="440">
        <f t="shared" ref="V209" si="556">F209+56</f>
        <v>2223.4519999999998</v>
      </c>
      <c r="W209" s="279">
        <f t="shared" ref="W209" si="557">+V209*$X$1</f>
        <v>2223.4519999999998</v>
      </c>
      <c r="X209" s="144"/>
      <c r="Y209" s="153"/>
      <c r="Z209" s="144"/>
      <c r="AA209" s="144"/>
      <c r="AB209" s="189">
        <v>465</v>
      </c>
    </row>
    <row r="210" spans="1:28" ht="12.6" customHeight="1" x14ac:dyDescent="0.2">
      <c r="A210" s="18"/>
      <c r="B210" s="690" t="s">
        <v>789</v>
      </c>
      <c r="C210" s="763"/>
      <c r="D210" s="763"/>
      <c r="E210" s="763"/>
      <c r="F210" s="364">
        <f>1.38*X2</f>
        <v>1515.2399999999998</v>
      </c>
      <c r="G210" s="327">
        <f t="shared" ref="G210" si="558">+F210*$X$1</f>
        <v>1515.2399999999998</v>
      </c>
      <c r="H210" s="607"/>
      <c r="I210" s="278"/>
      <c r="J210" s="70">
        <f t="shared" si="544"/>
        <v>1715.2399999999998</v>
      </c>
      <c r="K210" s="278">
        <f t="shared" ref="K210:K214" si="559">+J210*$X$1</f>
        <v>1715.2399999999998</v>
      </c>
      <c r="L210" s="607">
        <f t="shared" ref="L210:L214" si="560">F210+150</f>
        <v>1665.2399999999998</v>
      </c>
      <c r="M210" s="278">
        <f t="shared" ref="M210:M214" si="561">+L210*$X$1</f>
        <v>1665.2399999999998</v>
      </c>
      <c r="N210" s="607">
        <f t="shared" ref="N210:N214" si="562">F210+110</f>
        <v>1625.2399999999998</v>
      </c>
      <c r="O210" s="278">
        <f t="shared" ref="O210:O214" si="563">+N210*$X$1</f>
        <v>1625.2399999999998</v>
      </c>
      <c r="P210" s="607">
        <f t="shared" ref="P210:P214" si="564">F210+100</f>
        <v>1615.2399999999998</v>
      </c>
      <c r="Q210" s="278">
        <f t="shared" ref="Q210:Q214" si="565">+P210*$X$1</f>
        <v>1615.2399999999998</v>
      </c>
      <c r="R210" s="607">
        <f t="shared" ref="R210:R214" si="566">F210+80</f>
        <v>1595.2399999999998</v>
      </c>
      <c r="S210" s="278">
        <f t="shared" ref="S210:S214" si="567">+R210*$X$1</f>
        <v>1595.2399999999998</v>
      </c>
      <c r="T210" s="607">
        <f t="shared" ref="T210:T214" si="568">F210+65</f>
        <v>1580.2399999999998</v>
      </c>
      <c r="U210" s="278">
        <f t="shared" ref="U210:U214" si="569">+T210*$X$1</f>
        <v>1580.2399999999998</v>
      </c>
      <c r="V210" s="607">
        <f t="shared" ref="V210:V214" si="570">F210+56</f>
        <v>1571.2399999999998</v>
      </c>
      <c r="W210" s="278">
        <f t="shared" ref="W210:W214" si="571">+V210*$X$1</f>
        <v>1571.2399999999998</v>
      </c>
      <c r="X210" s="144"/>
      <c r="Y210" s="153"/>
      <c r="Z210" s="144"/>
      <c r="AA210" s="144"/>
      <c r="AB210" s="189">
        <v>466</v>
      </c>
    </row>
    <row r="211" spans="1:28" ht="12.6" customHeight="1" x14ac:dyDescent="0.2">
      <c r="A211" s="18"/>
      <c r="B211" s="659" t="s">
        <v>605</v>
      </c>
      <c r="C211" s="727"/>
      <c r="D211" s="727"/>
      <c r="E211" s="727"/>
      <c r="F211" s="368">
        <f>1*X2</f>
        <v>1098</v>
      </c>
      <c r="G211" s="328">
        <f t="shared" si="543"/>
        <v>1098</v>
      </c>
      <c r="H211" s="440"/>
      <c r="I211" s="279"/>
      <c r="J211" s="87">
        <f t="shared" si="544"/>
        <v>1298</v>
      </c>
      <c r="K211" s="279">
        <f t="shared" si="559"/>
        <v>1298</v>
      </c>
      <c r="L211" s="440">
        <f t="shared" si="560"/>
        <v>1248</v>
      </c>
      <c r="M211" s="279">
        <f t="shared" si="561"/>
        <v>1248</v>
      </c>
      <c r="N211" s="440">
        <f t="shared" si="562"/>
        <v>1208</v>
      </c>
      <c r="O211" s="279">
        <f t="shared" si="563"/>
        <v>1208</v>
      </c>
      <c r="P211" s="440">
        <f t="shared" si="564"/>
        <v>1198</v>
      </c>
      <c r="Q211" s="279">
        <f t="shared" si="565"/>
        <v>1198</v>
      </c>
      <c r="R211" s="440">
        <f t="shared" si="566"/>
        <v>1178</v>
      </c>
      <c r="S211" s="279">
        <f t="shared" si="567"/>
        <v>1178</v>
      </c>
      <c r="T211" s="440">
        <f t="shared" si="568"/>
        <v>1163</v>
      </c>
      <c r="U211" s="279">
        <f t="shared" si="569"/>
        <v>1163</v>
      </c>
      <c r="V211" s="440">
        <f t="shared" si="570"/>
        <v>1154</v>
      </c>
      <c r="W211" s="279">
        <f t="shared" si="571"/>
        <v>1154</v>
      </c>
      <c r="X211" s="144"/>
      <c r="Y211" s="144"/>
      <c r="Z211" s="144"/>
      <c r="AA211" s="144"/>
      <c r="AB211" s="189">
        <v>528</v>
      </c>
    </row>
    <row r="212" spans="1:28" ht="12.6" customHeight="1" x14ac:dyDescent="0.2">
      <c r="A212" s="18"/>
      <c r="B212" s="733" t="s">
        <v>356</v>
      </c>
      <c r="C212" s="784"/>
      <c r="D212" s="784"/>
      <c r="E212" s="785"/>
      <c r="F212" s="295">
        <v>3998</v>
      </c>
      <c r="G212" s="301">
        <f t="shared" ref="G212:G216" si="572">+F212*$X$1</f>
        <v>3998</v>
      </c>
      <c r="H212" s="607"/>
      <c r="I212" s="278"/>
      <c r="J212" s="70">
        <f t="shared" si="544"/>
        <v>4198</v>
      </c>
      <c r="K212" s="278">
        <f t="shared" si="559"/>
        <v>4198</v>
      </c>
      <c r="L212" s="607">
        <f t="shared" si="560"/>
        <v>4148</v>
      </c>
      <c r="M212" s="278">
        <f t="shared" si="561"/>
        <v>4148</v>
      </c>
      <c r="N212" s="607">
        <f t="shared" si="562"/>
        <v>4108</v>
      </c>
      <c r="O212" s="278">
        <f t="shared" si="563"/>
        <v>4108</v>
      </c>
      <c r="P212" s="607">
        <f t="shared" si="564"/>
        <v>4098</v>
      </c>
      <c r="Q212" s="278">
        <f t="shared" si="565"/>
        <v>4098</v>
      </c>
      <c r="R212" s="607">
        <f t="shared" si="566"/>
        <v>4078</v>
      </c>
      <c r="S212" s="278">
        <f t="shared" si="567"/>
        <v>4078</v>
      </c>
      <c r="T212" s="607">
        <f t="shared" si="568"/>
        <v>4063</v>
      </c>
      <c r="U212" s="278">
        <f t="shared" si="569"/>
        <v>4063</v>
      </c>
      <c r="V212" s="607">
        <f t="shared" si="570"/>
        <v>4054</v>
      </c>
      <c r="W212" s="278">
        <f t="shared" si="571"/>
        <v>4054</v>
      </c>
      <c r="X212" s="144"/>
      <c r="Y212" s="144"/>
      <c r="Z212" s="144"/>
      <c r="AA212" s="144"/>
      <c r="AB212" s="189"/>
    </row>
    <row r="213" spans="1:28" ht="12.6" customHeight="1" x14ac:dyDescent="0.2">
      <c r="A213" s="18"/>
      <c r="B213" s="672" t="s">
        <v>785</v>
      </c>
      <c r="C213" s="745"/>
      <c r="D213" s="745"/>
      <c r="E213" s="745"/>
      <c r="F213" s="365">
        <f>1*X2</f>
        <v>1098</v>
      </c>
      <c r="G213" s="482">
        <f t="shared" si="572"/>
        <v>1098</v>
      </c>
      <c r="H213" s="440">
        <f>F213+600</f>
        <v>1698</v>
      </c>
      <c r="I213" s="279">
        <f t="shared" ref="I213" si="573">+H213*$X$1</f>
        <v>1698</v>
      </c>
      <c r="J213" s="87">
        <f t="shared" si="544"/>
        <v>1298</v>
      </c>
      <c r="K213" s="279">
        <f t="shared" si="559"/>
        <v>1298</v>
      </c>
      <c r="L213" s="440">
        <f t="shared" si="560"/>
        <v>1248</v>
      </c>
      <c r="M213" s="279">
        <f t="shared" si="561"/>
        <v>1248</v>
      </c>
      <c r="N213" s="440">
        <f t="shared" si="562"/>
        <v>1208</v>
      </c>
      <c r="O213" s="279">
        <f t="shared" si="563"/>
        <v>1208</v>
      </c>
      <c r="P213" s="440">
        <f t="shared" si="564"/>
        <v>1198</v>
      </c>
      <c r="Q213" s="279">
        <f t="shared" si="565"/>
        <v>1198</v>
      </c>
      <c r="R213" s="440">
        <f t="shared" si="566"/>
        <v>1178</v>
      </c>
      <c r="S213" s="279">
        <f t="shared" si="567"/>
        <v>1178</v>
      </c>
      <c r="T213" s="440">
        <f t="shared" si="568"/>
        <v>1163</v>
      </c>
      <c r="U213" s="279">
        <f t="shared" si="569"/>
        <v>1163</v>
      </c>
      <c r="V213" s="440">
        <f t="shared" si="570"/>
        <v>1154</v>
      </c>
      <c r="W213" s="279">
        <f t="shared" si="571"/>
        <v>1154</v>
      </c>
      <c r="X213" s="144"/>
      <c r="Y213" s="153"/>
      <c r="Z213" s="144"/>
      <c r="AA213" s="144"/>
      <c r="AB213" s="189">
        <v>534</v>
      </c>
    </row>
    <row r="214" spans="1:28" ht="12.6" customHeight="1" x14ac:dyDescent="0.2">
      <c r="A214" s="18"/>
      <c r="B214" s="733" t="s">
        <v>357</v>
      </c>
      <c r="C214" s="734"/>
      <c r="D214" s="734"/>
      <c r="E214" s="735"/>
      <c r="F214" s="295">
        <v>1235</v>
      </c>
      <c r="G214" s="301">
        <f t="shared" si="572"/>
        <v>1235</v>
      </c>
      <c r="H214" s="607"/>
      <c r="I214" s="278"/>
      <c r="J214" s="70">
        <f t="shared" si="544"/>
        <v>1435</v>
      </c>
      <c r="K214" s="278">
        <f t="shared" si="559"/>
        <v>1435</v>
      </c>
      <c r="L214" s="607">
        <f t="shared" si="560"/>
        <v>1385</v>
      </c>
      <c r="M214" s="278">
        <f t="shared" si="561"/>
        <v>1385</v>
      </c>
      <c r="N214" s="607">
        <f t="shared" si="562"/>
        <v>1345</v>
      </c>
      <c r="O214" s="278">
        <f t="shared" si="563"/>
        <v>1345</v>
      </c>
      <c r="P214" s="607">
        <f t="shared" si="564"/>
        <v>1335</v>
      </c>
      <c r="Q214" s="278">
        <f t="shared" si="565"/>
        <v>1335</v>
      </c>
      <c r="R214" s="607">
        <f t="shared" si="566"/>
        <v>1315</v>
      </c>
      <c r="S214" s="278">
        <f t="shared" si="567"/>
        <v>1315</v>
      </c>
      <c r="T214" s="607">
        <f t="shared" si="568"/>
        <v>1300</v>
      </c>
      <c r="U214" s="278">
        <f t="shared" si="569"/>
        <v>1300</v>
      </c>
      <c r="V214" s="607">
        <f t="shared" si="570"/>
        <v>1291</v>
      </c>
      <c r="W214" s="278">
        <f t="shared" si="571"/>
        <v>1291</v>
      </c>
      <c r="X214" s="144"/>
      <c r="Y214" s="144"/>
      <c r="Z214" s="144"/>
      <c r="AA214" s="144"/>
      <c r="AB214" s="189"/>
    </row>
    <row r="215" spans="1:28" ht="12.6" customHeight="1" x14ac:dyDescent="0.2">
      <c r="A215" s="18"/>
      <c r="B215" s="659" t="s">
        <v>189</v>
      </c>
      <c r="C215" s="660"/>
      <c r="D215" s="660"/>
      <c r="E215" s="660"/>
      <c r="F215" s="308">
        <v>210</v>
      </c>
      <c r="G215" s="339">
        <f>+F215*$X$1</f>
        <v>210</v>
      </c>
      <c r="H215" s="989" t="s">
        <v>348</v>
      </c>
      <c r="I215" s="989"/>
      <c r="J215" s="990"/>
      <c r="K215" s="990"/>
      <c r="L215" s="990"/>
      <c r="M215" s="991"/>
      <c r="N215" s="440">
        <f t="shared" ref="N215" si="574">F215+110</f>
        <v>320</v>
      </c>
      <c r="O215" s="279">
        <f t="shared" ref="O215" si="575">+N215*$X$1</f>
        <v>320</v>
      </c>
      <c r="P215" s="440">
        <f t="shared" ref="P215" si="576">F215+100</f>
        <v>310</v>
      </c>
      <c r="Q215" s="279">
        <f t="shared" ref="Q215" si="577">+P215*$X$1</f>
        <v>310</v>
      </c>
      <c r="R215" s="440">
        <f t="shared" ref="R215" si="578">F215+80</f>
        <v>290</v>
      </c>
      <c r="S215" s="279">
        <f t="shared" ref="S215" si="579">+R215*$X$1</f>
        <v>290</v>
      </c>
      <c r="T215" s="440">
        <f t="shared" ref="T215" si="580">F215+65</f>
        <v>275</v>
      </c>
      <c r="U215" s="279">
        <f t="shared" ref="U215" si="581">+T215*$X$1</f>
        <v>275</v>
      </c>
      <c r="V215" s="440">
        <f t="shared" ref="V215" si="582">F215+56</f>
        <v>266</v>
      </c>
      <c r="W215" s="279">
        <f t="shared" ref="W215" si="583">+V215*$X$1</f>
        <v>266</v>
      </c>
      <c r="X215" s="144"/>
      <c r="Y215" s="144"/>
      <c r="Z215" s="144"/>
      <c r="AA215" s="144"/>
      <c r="AB215" s="189">
        <v>539</v>
      </c>
    </row>
    <row r="216" spans="1:28" ht="12.6" customHeight="1" x14ac:dyDescent="0.2">
      <c r="A216" s="18"/>
      <c r="B216" s="695" t="s">
        <v>460</v>
      </c>
      <c r="C216" s="696"/>
      <c r="D216" s="696"/>
      <c r="E216" s="696"/>
      <c r="F216" s="295">
        <v>490</v>
      </c>
      <c r="G216" s="296">
        <f t="shared" si="572"/>
        <v>490</v>
      </c>
      <c r="H216" s="272"/>
      <c r="I216" s="272"/>
      <c r="J216" s="70"/>
      <c r="K216" s="278"/>
      <c r="L216" s="607"/>
      <c r="M216" s="278"/>
      <c r="N216" s="607"/>
      <c r="O216" s="278"/>
      <c r="P216" s="607"/>
      <c r="Q216" s="278"/>
      <c r="R216" s="607"/>
      <c r="S216" s="278"/>
      <c r="T216" s="607">
        <f t="shared" ref="T216:T218" si="584">F216+65</f>
        <v>555</v>
      </c>
      <c r="U216" s="278">
        <f t="shared" ref="U216:U218" si="585">+T216*$X$1</f>
        <v>555</v>
      </c>
      <c r="V216" s="607">
        <f t="shared" ref="V216:V218" si="586">F216+56</f>
        <v>546</v>
      </c>
      <c r="W216" s="278">
        <f t="shared" ref="W216:W218" si="587">+V216*$X$1</f>
        <v>546</v>
      </c>
      <c r="X216" s="144"/>
      <c r="Y216" s="144"/>
      <c r="Z216" s="144"/>
      <c r="AA216" s="144"/>
      <c r="AB216" s="189">
        <v>540</v>
      </c>
    </row>
    <row r="217" spans="1:28" ht="12.6" customHeight="1" x14ac:dyDescent="0.2">
      <c r="A217" s="18"/>
      <c r="B217" s="659" t="s">
        <v>462</v>
      </c>
      <c r="C217" s="727"/>
      <c r="D217" s="727"/>
      <c r="E217" s="727"/>
      <c r="F217" s="308">
        <v>843</v>
      </c>
      <c r="G217" s="328">
        <f t="shared" ref="G217" si="588">+F217*$X$1</f>
        <v>843</v>
      </c>
      <c r="H217" s="271"/>
      <c r="I217" s="271"/>
      <c r="J217" s="87"/>
      <c r="K217" s="279"/>
      <c r="L217" s="440"/>
      <c r="M217" s="279"/>
      <c r="N217" s="440"/>
      <c r="O217" s="279"/>
      <c r="P217" s="440"/>
      <c r="Q217" s="279"/>
      <c r="R217" s="440"/>
      <c r="S217" s="279"/>
      <c r="T217" s="440">
        <f t="shared" si="584"/>
        <v>908</v>
      </c>
      <c r="U217" s="279">
        <f t="shared" si="585"/>
        <v>908</v>
      </c>
      <c r="V217" s="440">
        <f t="shared" si="586"/>
        <v>899</v>
      </c>
      <c r="W217" s="279">
        <f t="shared" si="587"/>
        <v>899</v>
      </c>
      <c r="X217" s="144"/>
      <c r="Y217" s="144"/>
      <c r="Z217" s="144"/>
      <c r="AA217" s="144"/>
      <c r="AB217" s="189" t="s">
        <v>543</v>
      </c>
    </row>
    <row r="218" spans="1:28" ht="12.6" customHeight="1" x14ac:dyDescent="0.2">
      <c r="A218" s="18"/>
      <c r="B218" s="733" t="s">
        <v>413</v>
      </c>
      <c r="C218" s="734"/>
      <c r="D218" s="734"/>
      <c r="E218" s="735"/>
      <c r="F218" s="369">
        <f>18.74*X2</f>
        <v>20576.519999999997</v>
      </c>
      <c r="G218" s="296">
        <f t="shared" ref="G218" si="589">+F218*$X$1</f>
        <v>20576.519999999997</v>
      </c>
      <c r="H218" s="607">
        <f>F218+600</f>
        <v>21176.519999999997</v>
      </c>
      <c r="I218" s="278">
        <f>+H218*$X$1</f>
        <v>21176.519999999997</v>
      </c>
      <c r="J218" s="70">
        <f>F218+200</f>
        <v>20776.519999999997</v>
      </c>
      <c r="K218" s="278">
        <f t="shared" ref="K218" si="590">+J218*$X$1</f>
        <v>20776.519999999997</v>
      </c>
      <c r="L218" s="607">
        <f t="shared" ref="L218" si="591">F218+150</f>
        <v>20726.519999999997</v>
      </c>
      <c r="M218" s="278">
        <f t="shared" ref="M218" si="592">+L218*$X$1</f>
        <v>20726.519999999997</v>
      </c>
      <c r="N218" s="607">
        <f t="shared" ref="N218" si="593">F218+110</f>
        <v>20686.519999999997</v>
      </c>
      <c r="O218" s="278">
        <f t="shared" ref="O218" si="594">+N218*$X$1</f>
        <v>20686.519999999997</v>
      </c>
      <c r="P218" s="607">
        <f t="shared" ref="P218" si="595">F218+100</f>
        <v>20676.519999999997</v>
      </c>
      <c r="Q218" s="278">
        <f t="shared" ref="Q218" si="596">+P218*$X$1</f>
        <v>20676.519999999997</v>
      </c>
      <c r="R218" s="607">
        <f t="shared" ref="R218" si="597">F218+80</f>
        <v>20656.519999999997</v>
      </c>
      <c r="S218" s="278">
        <f t="shared" ref="S218" si="598">+R218*$X$1</f>
        <v>20656.519999999997</v>
      </c>
      <c r="T218" s="607">
        <f t="shared" si="584"/>
        <v>20641.519999999997</v>
      </c>
      <c r="U218" s="278">
        <f t="shared" si="585"/>
        <v>20641.519999999997</v>
      </c>
      <c r="V218" s="607">
        <f t="shared" si="586"/>
        <v>20632.519999999997</v>
      </c>
      <c r="W218" s="278">
        <f t="shared" si="587"/>
        <v>20632.519999999997</v>
      </c>
      <c r="X218" s="144"/>
      <c r="Y218" s="144"/>
      <c r="Z218" s="144"/>
      <c r="AA218" s="144"/>
      <c r="AB218" s="189">
        <v>542</v>
      </c>
    </row>
    <row r="219" spans="1:28" ht="12.6" customHeight="1" x14ac:dyDescent="0.2">
      <c r="A219" s="18"/>
      <c r="B219" s="672" t="s">
        <v>461</v>
      </c>
      <c r="C219" s="673"/>
      <c r="D219" s="673"/>
      <c r="E219" s="673"/>
      <c r="F219" s="279"/>
      <c r="G219" s="279"/>
      <c r="H219" s="440"/>
      <c r="I219" s="440"/>
      <c r="J219" s="440"/>
      <c r="K219" s="279"/>
      <c r="L219" s="440"/>
      <c r="M219" s="279"/>
      <c r="N219" s="440"/>
      <c r="O219" s="279"/>
      <c r="P219" s="440"/>
      <c r="Q219" s="279"/>
      <c r="R219" s="440"/>
      <c r="S219" s="279"/>
      <c r="T219" s="440"/>
      <c r="U219" s="279"/>
      <c r="V219" s="87"/>
      <c r="W219" s="332"/>
      <c r="X219" s="144"/>
      <c r="Y219" s="144"/>
      <c r="Z219" s="144"/>
      <c r="AA219" s="144"/>
      <c r="AB219" s="189">
        <v>544</v>
      </c>
    </row>
    <row r="220" spans="1:28" ht="12.6" customHeight="1" x14ac:dyDescent="0.2">
      <c r="A220" s="18"/>
      <c r="B220" s="753" t="s">
        <v>190</v>
      </c>
      <c r="C220" s="771"/>
      <c r="D220" s="771"/>
      <c r="E220" s="771"/>
      <c r="F220" s="510">
        <v>411</v>
      </c>
      <c r="G220" s="511">
        <f t="shared" ref="G220:G225" si="599">+F220*$X$1</f>
        <v>411</v>
      </c>
      <c r="H220" s="512"/>
      <c r="I220" s="512"/>
      <c r="J220" s="440">
        <f t="shared" ref="J220:J222" si="600">F220+200</f>
        <v>611</v>
      </c>
      <c r="K220" s="511">
        <f t="shared" ref="K220:K226" si="601">+J220*$X$1</f>
        <v>611</v>
      </c>
      <c r="L220" s="551">
        <f>F220+150</f>
        <v>561</v>
      </c>
      <c r="M220" s="511">
        <f t="shared" ref="M220:M226" si="602">+L220*$X$1</f>
        <v>561</v>
      </c>
      <c r="N220" s="551">
        <f>F220+110</f>
        <v>521</v>
      </c>
      <c r="O220" s="511">
        <f t="shared" ref="O220:O226" si="603">+N220*$X$1</f>
        <v>521</v>
      </c>
      <c r="P220" s="513"/>
      <c r="Q220" s="755" t="s">
        <v>148</v>
      </c>
      <c r="R220" s="756"/>
      <c r="S220" s="756"/>
      <c r="T220" s="756"/>
      <c r="U220" s="756"/>
      <c r="V220" s="756"/>
      <c r="W220" s="757"/>
      <c r="X220" s="128"/>
      <c r="Y220" s="128"/>
      <c r="Z220" s="128"/>
      <c r="AA220" s="128"/>
      <c r="AB220" s="189">
        <v>547</v>
      </c>
    </row>
    <row r="221" spans="1:28" ht="12.6" customHeight="1" x14ac:dyDescent="0.2">
      <c r="A221" s="18"/>
      <c r="B221" s="748" t="s">
        <v>358</v>
      </c>
      <c r="C221" s="749"/>
      <c r="D221" s="749"/>
      <c r="E221" s="750"/>
      <c r="F221" s="279">
        <v>3920</v>
      </c>
      <c r="G221" s="279">
        <f t="shared" si="599"/>
        <v>3920</v>
      </c>
      <c r="H221" s="271"/>
      <c r="I221" s="271"/>
      <c r="J221" s="87">
        <f>F221+250</f>
        <v>4170</v>
      </c>
      <c r="K221" s="279">
        <f t="shared" ref="K221" si="604">+J221*$X$1</f>
        <v>4170</v>
      </c>
      <c r="L221" s="440">
        <f>F221+200</f>
        <v>4120</v>
      </c>
      <c r="M221" s="279">
        <f t="shared" ref="M221" si="605">+L221*$X$1</f>
        <v>4120</v>
      </c>
      <c r="N221" s="440">
        <f>F221+160</f>
        <v>4080</v>
      </c>
      <c r="O221" s="279">
        <f t="shared" ref="O221" si="606">+N221*$X$1</f>
        <v>4080</v>
      </c>
      <c r="P221" s="440">
        <f>F221+130</f>
        <v>4050</v>
      </c>
      <c r="Q221" s="279">
        <f t="shared" ref="Q221" si="607">+P221*$X$1</f>
        <v>4050</v>
      </c>
      <c r="R221" s="440">
        <f>F221+110</f>
        <v>4030</v>
      </c>
      <c r="S221" s="279">
        <f t="shared" ref="S221" si="608">+R221*$X$1</f>
        <v>4030</v>
      </c>
      <c r="T221" s="440">
        <f>F221+90</f>
        <v>4010</v>
      </c>
      <c r="U221" s="279">
        <f t="shared" ref="U221" si="609">+T221*$X$1</f>
        <v>4010</v>
      </c>
      <c r="V221" s="440">
        <f>F221+75</f>
        <v>3995</v>
      </c>
      <c r="W221" s="279">
        <f t="shared" ref="W221" si="610">+V221*$X$1</f>
        <v>3995</v>
      </c>
      <c r="X221" s="128"/>
      <c r="Y221" s="128"/>
      <c r="Z221" s="128"/>
      <c r="AA221" s="128"/>
      <c r="AB221" s="401"/>
    </row>
    <row r="222" spans="1:28" ht="12.6" customHeight="1" x14ac:dyDescent="0.2">
      <c r="A222" s="18"/>
      <c r="B222" s="733" t="s">
        <v>475</v>
      </c>
      <c r="C222" s="734"/>
      <c r="D222" s="734"/>
      <c r="E222" s="735"/>
      <c r="F222" s="295">
        <v>1117</v>
      </c>
      <c r="G222" s="278">
        <f t="shared" si="599"/>
        <v>1117</v>
      </c>
      <c r="H222" s="272"/>
      <c r="I222" s="272"/>
      <c r="J222" s="70">
        <f t="shared" si="600"/>
        <v>1317</v>
      </c>
      <c r="K222" s="278">
        <f t="shared" si="601"/>
        <v>1317</v>
      </c>
      <c r="L222" s="639">
        <f t="shared" ref="L222" si="611">F222+150</f>
        <v>1267</v>
      </c>
      <c r="M222" s="278">
        <f t="shared" si="602"/>
        <v>1267</v>
      </c>
      <c r="N222" s="639">
        <f t="shared" ref="N222" si="612">F222+110</f>
        <v>1227</v>
      </c>
      <c r="O222" s="278">
        <f t="shared" si="603"/>
        <v>1227</v>
      </c>
      <c r="P222" s="639">
        <f t="shared" ref="P222" si="613">F222+100</f>
        <v>1217</v>
      </c>
      <c r="Q222" s="278">
        <f t="shared" ref="Q222:Q226" si="614">+P222*$X$1</f>
        <v>1217</v>
      </c>
      <c r="R222" s="639">
        <f t="shared" ref="R222" si="615">F222+80</f>
        <v>1197</v>
      </c>
      <c r="S222" s="278">
        <f t="shared" ref="S222:S226" si="616">+R222*$X$1</f>
        <v>1197</v>
      </c>
      <c r="T222" s="639">
        <f t="shared" ref="T222" si="617">F222+65</f>
        <v>1182</v>
      </c>
      <c r="U222" s="278">
        <f t="shared" ref="U222:U226" si="618">+T222*$X$1</f>
        <v>1182</v>
      </c>
      <c r="V222" s="639">
        <f t="shared" ref="V222" si="619">F222+56</f>
        <v>1173</v>
      </c>
      <c r="W222" s="278">
        <f t="shared" ref="W222:W226" si="620">+V222*$X$1</f>
        <v>1173</v>
      </c>
      <c r="X222" s="144"/>
      <c r="Y222" s="144"/>
      <c r="Z222" s="144"/>
      <c r="AA222" s="144"/>
      <c r="AB222" s="189"/>
    </row>
    <row r="223" spans="1:28" ht="12.6" customHeight="1" x14ac:dyDescent="0.2">
      <c r="A223" s="18"/>
      <c r="B223" s="748" t="s">
        <v>435</v>
      </c>
      <c r="C223" s="749"/>
      <c r="D223" s="749"/>
      <c r="E223" s="750"/>
      <c r="F223" s="279">
        <v>3773</v>
      </c>
      <c r="G223" s="279">
        <f t="shared" si="599"/>
        <v>3773</v>
      </c>
      <c r="H223" s="271"/>
      <c r="I223" s="271"/>
      <c r="J223" s="87">
        <f>F223+250</f>
        <v>4023</v>
      </c>
      <c r="K223" s="279">
        <f t="shared" ref="K223" si="621">+J223*$X$1</f>
        <v>4023</v>
      </c>
      <c r="L223" s="440">
        <f>F223+200</f>
        <v>3973</v>
      </c>
      <c r="M223" s="279">
        <f t="shared" ref="M223" si="622">+L223*$X$1</f>
        <v>3973</v>
      </c>
      <c r="N223" s="440">
        <f>F223+160</f>
        <v>3933</v>
      </c>
      <c r="O223" s="279">
        <f t="shared" ref="O223" si="623">+N223*$X$1</f>
        <v>3933</v>
      </c>
      <c r="P223" s="440">
        <f>F223+130</f>
        <v>3903</v>
      </c>
      <c r="Q223" s="279">
        <f t="shared" ref="Q223" si="624">+P223*$X$1</f>
        <v>3903</v>
      </c>
      <c r="R223" s="440">
        <f>F223+110</f>
        <v>3883</v>
      </c>
      <c r="S223" s="279">
        <f t="shared" ref="S223" si="625">+R223*$X$1</f>
        <v>3883</v>
      </c>
      <c r="T223" s="440">
        <f>F223+90</f>
        <v>3863</v>
      </c>
      <c r="U223" s="279">
        <f t="shared" ref="U223" si="626">+T223*$X$1</f>
        <v>3863</v>
      </c>
      <c r="V223" s="440">
        <f>F223+75</f>
        <v>3848</v>
      </c>
      <c r="W223" s="279">
        <f t="shared" ref="W223" si="627">+V223*$X$1</f>
        <v>3848</v>
      </c>
      <c r="X223" s="128"/>
      <c r="Y223" s="128"/>
      <c r="Z223" s="128"/>
      <c r="AA223" s="128"/>
      <c r="AB223" s="189">
        <v>551</v>
      </c>
    </row>
    <row r="224" spans="1:28" ht="12.6" customHeight="1" x14ac:dyDescent="0.2">
      <c r="A224" s="18"/>
      <c r="B224" s="768" t="s">
        <v>433</v>
      </c>
      <c r="C224" s="769"/>
      <c r="D224" s="769"/>
      <c r="E224" s="770"/>
      <c r="F224" s="295">
        <v>4214</v>
      </c>
      <c r="G224" s="278">
        <f t="shared" si="599"/>
        <v>4214</v>
      </c>
      <c r="H224" s="272"/>
      <c r="I224" s="272"/>
      <c r="J224" s="70">
        <f>F224+250</f>
        <v>4464</v>
      </c>
      <c r="K224" s="278">
        <f t="shared" ref="K224" si="628">+J224*$X$1</f>
        <v>4464</v>
      </c>
      <c r="L224" s="639">
        <f>F224+200</f>
        <v>4414</v>
      </c>
      <c r="M224" s="278">
        <f t="shared" ref="M224" si="629">+L224*$X$1</f>
        <v>4414</v>
      </c>
      <c r="N224" s="639">
        <f>F224+160</f>
        <v>4374</v>
      </c>
      <c r="O224" s="278">
        <f t="shared" ref="O224" si="630">+N224*$X$1</f>
        <v>4374</v>
      </c>
      <c r="P224" s="639">
        <f>F224+130</f>
        <v>4344</v>
      </c>
      <c r="Q224" s="278">
        <f t="shared" ref="Q224" si="631">+P224*$X$1</f>
        <v>4344</v>
      </c>
      <c r="R224" s="639">
        <f>F224+110</f>
        <v>4324</v>
      </c>
      <c r="S224" s="278">
        <f t="shared" ref="S224" si="632">+R224*$X$1</f>
        <v>4324</v>
      </c>
      <c r="T224" s="639">
        <f>F224+90</f>
        <v>4304</v>
      </c>
      <c r="U224" s="278">
        <f t="shared" ref="U224" si="633">+T224*$X$1</f>
        <v>4304</v>
      </c>
      <c r="V224" s="639">
        <f>F224+75</f>
        <v>4289</v>
      </c>
      <c r="W224" s="278">
        <f t="shared" ref="W224" si="634">+V224*$X$1</f>
        <v>4289</v>
      </c>
      <c r="X224" s="128"/>
      <c r="Y224" s="128"/>
      <c r="Z224" s="128"/>
      <c r="AA224" s="128"/>
      <c r="AB224" s="189" t="s">
        <v>432</v>
      </c>
    </row>
    <row r="225" spans="1:34" ht="12.6" customHeight="1" x14ac:dyDescent="0.2">
      <c r="A225" s="18"/>
      <c r="B225" s="788" t="s">
        <v>434</v>
      </c>
      <c r="C225" s="789"/>
      <c r="D225" s="789"/>
      <c r="E225" s="790"/>
      <c r="F225" s="308">
        <v>4567</v>
      </c>
      <c r="G225" s="279">
        <f t="shared" si="599"/>
        <v>4567</v>
      </c>
      <c r="H225" s="271"/>
      <c r="I225" s="271"/>
      <c r="J225" s="87">
        <f>F225+250</f>
        <v>4817</v>
      </c>
      <c r="K225" s="279">
        <f t="shared" ref="K225" si="635">+J225*$X$1</f>
        <v>4817</v>
      </c>
      <c r="L225" s="440">
        <f>F225+200</f>
        <v>4767</v>
      </c>
      <c r="M225" s="279">
        <f t="shared" ref="M225" si="636">+L225*$X$1</f>
        <v>4767</v>
      </c>
      <c r="N225" s="440">
        <f>F225+160</f>
        <v>4727</v>
      </c>
      <c r="O225" s="279">
        <f t="shared" ref="O225" si="637">+N225*$X$1</f>
        <v>4727</v>
      </c>
      <c r="P225" s="440">
        <f>F225+130</f>
        <v>4697</v>
      </c>
      <c r="Q225" s="279">
        <f t="shared" ref="Q225" si="638">+P225*$X$1</f>
        <v>4697</v>
      </c>
      <c r="R225" s="440">
        <f>F225+110</f>
        <v>4677</v>
      </c>
      <c r="S225" s="279">
        <f t="shared" ref="S225" si="639">+R225*$X$1</f>
        <v>4677</v>
      </c>
      <c r="T225" s="440">
        <f>F225+90</f>
        <v>4657</v>
      </c>
      <c r="U225" s="279">
        <f t="shared" ref="U225" si="640">+T225*$X$1</f>
        <v>4657</v>
      </c>
      <c r="V225" s="440">
        <f>F225+75</f>
        <v>4642</v>
      </c>
      <c r="W225" s="279">
        <f t="shared" ref="W225" si="641">+V225*$X$1</f>
        <v>4642</v>
      </c>
      <c r="X225" s="128"/>
      <c r="Y225" s="128"/>
      <c r="Z225" s="128"/>
      <c r="AA225" s="128"/>
      <c r="AB225" s="189" t="s">
        <v>436</v>
      </c>
    </row>
    <row r="226" spans="1:34" ht="12.6" customHeight="1" x14ac:dyDescent="0.2">
      <c r="A226" s="18"/>
      <c r="B226" s="690" t="s">
        <v>395</v>
      </c>
      <c r="C226" s="763"/>
      <c r="D226" s="763"/>
      <c r="E226" s="763"/>
      <c r="F226" s="278">
        <v>4028</v>
      </c>
      <c r="G226" s="278">
        <f t="shared" ref="G226" si="642">+F226*$X$1</f>
        <v>4028</v>
      </c>
      <c r="H226" s="272"/>
      <c r="I226" s="272"/>
      <c r="J226" s="70">
        <f>F226+250</f>
        <v>4278</v>
      </c>
      <c r="K226" s="278">
        <f t="shared" si="601"/>
        <v>4278</v>
      </c>
      <c r="L226" s="639">
        <f>F226+200</f>
        <v>4228</v>
      </c>
      <c r="M226" s="278">
        <f t="shared" si="602"/>
        <v>4228</v>
      </c>
      <c r="N226" s="639">
        <f>F226+160</f>
        <v>4188</v>
      </c>
      <c r="O226" s="278">
        <f t="shared" si="603"/>
        <v>4188</v>
      </c>
      <c r="P226" s="639">
        <f>F226+130</f>
        <v>4158</v>
      </c>
      <c r="Q226" s="278">
        <f t="shared" si="614"/>
        <v>4158</v>
      </c>
      <c r="R226" s="639">
        <f>F226+110</f>
        <v>4138</v>
      </c>
      <c r="S226" s="278">
        <f t="shared" si="616"/>
        <v>4138</v>
      </c>
      <c r="T226" s="639">
        <f>F226+90</f>
        <v>4118</v>
      </c>
      <c r="U226" s="278">
        <f t="shared" si="618"/>
        <v>4118</v>
      </c>
      <c r="V226" s="639">
        <f>F226+75</f>
        <v>4103</v>
      </c>
      <c r="W226" s="278">
        <f t="shared" si="620"/>
        <v>4103</v>
      </c>
      <c r="X226" s="128"/>
      <c r="Y226" s="128"/>
      <c r="Z226" s="128"/>
      <c r="AA226" s="128"/>
      <c r="AB226" s="189">
        <v>553</v>
      </c>
    </row>
    <row r="227" spans="1:34" ht="12.6" customHeight="1" x14ac:dyDescent="0.2">
      <c r="A227" s="18"/>
      <c r="B227" s="659" t="s">
        <v>604</v>
      </c>
      <c r="C227" s="727"/>
      <c r="D227" s="727"/>
      <c r="E227" s="727"/>
      <c r="F227" s="368">
        <f>5.65*X2</f>
        <v>6203.7000000000007</v>
      </c>
      <c r="G227" s="328">
        <f t="shared" ref="G227" si="643">+F227*$X$1</f>
        <v>6203.7000000000007</v>
      </c>
      <c r="H227" s="440">
        <f>F227+800</f>
        <v>7003.7000000000007</v>
      </c>
      <c r="I227" s="279">
        <f>+H227*$X$1</f>
        <v>7003.7000000000007</v>
      </c>
      <c r="J227" s="440">
        <f>F227+600</f>
        <v>6803.7000000000007</v>
      </c>
      <c r="K227" s="279">
        <f>+J227*$X$1</f>
        <v>6803.7000000000007</v>
      </c>
      <c r="L227" s="440">
        <f>F227+500</f>
        <v>6703.7000000000007</v>
      </c>
      <c r="M227" s="279">
        <f t="shared" ref="M227" si="644">+L227*$X$1</f>
        <v>6703.7000000000007</v>
      </c>
      <c r="N227" s="440">
        <f>F227+450</f>
        <v>6653.7000000000007</v>
      </c>
      <c r="O227" s="279">
        <f t="shared" ref="O227" si="645">+N227*$X$1</f>
        <v>6653.7000000000007</v>
      </c>
      <c r="P227" s="440">
        <f>F227+360</f>
        <v>6563.7000000000007</v>
      </c>
      <c r="Q227" s="279">
        <f t="shared" ref="Q227" si="646">+P227*$X$1</f>
        <v>6563.7000000000007</v>
      </c>
      <c r="R227" s="440">
        <f>F227+330</f>
        <v>6533.7000000000007</v>
      </c>
      <c r="S227" s="279">
        <f t="shared" ref="S227" si="647">+R227*$X$1</f>
        <v>6533.7000000000007</v>
      </c>
      <c r="T227" s="99">
        <f>F227+300</f>
        <v>6503.7000000000007</v>
      </c>
      <c r="U227" s="294">
        <f t="shared" ref="U227" si="648">+T227*$X$1</f>
        <v>6503.7000000000007</v>
      </c>
      <c r="V227" s="99">
        <f>F227+260</f>
        <v>6463.7000000000007</v>
      </c>
      <c r="W227" s="294">
        <f t="shared" ref="W227" si="649">+V227*$X$1</f>
        <v>6463.7000000000007</v>
      </c>
      <c r="X227" s="144"/>
      <c r="Y227" s="144"/>
      <c r="Z227" s="144"/>
      <c r="AA227" s="144"/>
      <c r="AB227" s="189">
        <v>616</v>
      </c>
    </row>
    <row r="228" spans="1:34" ht="12.6" customHeight="1" x14ac:dyDescent="0.2">
      <c r="A228" s="18"/>
      <c r="B228" s="730" t="s">
        <v>352</v>
      </c>
      <c r="C228" s="731"/>
      <c r="D228" s="731"/>
      <c r="E228" s="731"/>
      <c r="F228" s="511">
        <v>220</v>
      </c>
      <c r="G228" s="511">
        <f t="shared" ref="G228:G231" si="650">+F228*$X$1</f>
        <v>220</v>
      </c>
      <c r="H228" s="512"/>
      <c r="I228" s="514"/>
      <c r="J228" s="604">
        <f>F228+200</f>
        <v>420</v>
      </c>
      <c r="K228" s="511">
        <f t="shared" ref="K228" si="651">+J228*$X$1</f>
        <v>420</v>
      </c>
      <c r="L228" s="604">
        <f>F228+150</f>
        <v>370</v>
      </c>
      <c r="M228" s="511">
        <f>+L228*$X$1</f>
        <v>370</v>
      </c>
      <c r="N228" s="604">
        <f>F228+110</f>
        <v>330</v>
      </c>
      <c r="O228" s="511">
        <f>+N228*$X$1</f>
        <v>330</v>
      </c>
      <c r="P228" s="604"/>
      <c r="Q228" s="758" t="s">
        <v>148</v>
      </c>
      <c r="R228" s="759"/>
      <c r="S228" s="759"/>
      <c r="T228" s="759"/>
      <c r="U228" s="759"/>
      <c r="V228" s="759"/>
      <c r="W228" s="759"/>
      <c r="X228" s="144"/>
      <c r="Y228" s="144"/>
      <c r="Z228" s="144"/>
      <c r="AA228" s="144"/>
      <c r="AB228" s="189">
        <v>618</v>
      </c>
    </row>
    <row r="229" spans="1:34" ht="12.6" customHeight="1" x14ac:dyDescent="0.2">
      <c r="A229" s="101"/>
      <c r="B229" s="751" t="s">
        <v>470</v>
      </c>
      <c r="C229" s="752"/>
      <c r="D229" s="752"/>
      <c r="E229" s="752"/>
      <c r="F229" s="511">
        <v>600</v>
      </c>
      <c r="G229" s="511">
        <f t="shared" si="650"/>
        <v>600</v>
      </c>
      <c r="H229" s="604"/>
      <c r="I229" s="511"/>
      <c r="J229" s="512"/>
      <c r="K229" s="514"/>
      <c r="L229" s="604">
        <f>F229+160</f>
        <v>760</v>
      </c>
      <c r="M229" s="511">
        <f t="shared" ref="M229:M235" si="652">+L229*$X$1</f>
        <v>760</v>
      </c>
      <c r="N229" s="604"/>
      <c r="O229" s="511"/>
      <c r="P229" s="604">
        <f>F229+5.1</f>
        <v>605.1</v>
      </c>
      <c r="Q229" s="758" t="s">
        <v>148</v>
      </c>
      <c r="R229" s="759"/>
      <c r="S229" s="759"/>
      <c r="T229" s="759"/>
      <c r="U229" s="759"/>
      <c r="V229" s="759"/>
      <c r="W229" s="759"/>
      <c r="X229" s="129"/>
      <c r="Y229" s="144"/>
      <c r="Z229" s="144"/>
      <c r="AA229" s="144"/>
      <c r="AB229" s="189">
        <v>621</v>
      </c>
    </row>
    <row r="230" spans="1:34" ht="12.6" customHeight="1" x14ac:dyDescent="0.2">
      <c r="A230" s="21"/>
      <c r="B230" s="690" t="s">
        <v>191</v>
      </c>
      <c r="C230" s="763"/>
      <c r="D230" s="763"/>
      <c r="E230" s="763"/>
      <c r="F230" s="364">
        <f>2.93*X2</f>
        <v>3217.1400000000003</v>
      </c>
      <c r="G230" s="278">
        <f>+F230*$X$1</f>
        <v>3217.1400000000003</v>
      </c>
      <c r="H230" s="307"/>
      <c r="I230" s="330"/>
      <c r="J230" s="70">
        <f t="shared" ref="J230:J235" si="653">F230+200</f>
        <v>3417.1400000000003</v>
      </c>
      <c r="K230" s="278">
        <f t="shared" ref="K230:K235" si="654">+J230*$X$1</f>
        <v>3417.1400000000003</v>
      </c>
      <c r="L230" s="607">
        <f t="shared" ref="L230:L235" si="655">F230+150</f>
        <v>3367.1400000000003</v>
      </c>
      <c r="M230" s="278">
        <f t="shared" si="652"/>
        <v>3367.1400000000003</v>
      </c>
      <c r="N230" s="607">
        <f t="shared" ref="N230:N235" si="656">F230+110</f>
        <v>3327.1400000000003</v>
      </c>
      <c r="O230" s="278">
        <f t="shared" ref="O230:O235" si="657">+N230*$X$1</f>
        <v>3327.1400000000003</v>
      </c>
      <c r="P230" s="607">
        <f t="shared" ref="P230:P235" si="658">F230+100</f>
        <v>3317.1400000000003</v>
      </c>
      <c r="Q230" s="278">
        <f t="shared" ref="Q230:Q235" si="659">+P230*$X$1</f>
        <v>3317.1400000000003</v>
      </c>
      <c r="R230" s="607">
        <f t="shared" ref="R230:R235" si="660">F230+80</f>
        <v>3297.1400000000003</v>
      </c>
      <c r="S230" s="278">
        <f t="shared" ref="S230:S235" si="661">+R230*$X$1</f>
        <v>3297.1400000000003</v>
      </c>
      <c r="T230" s="607">
        <f t="shared" ref="T230:T235" si="662">F230+65</f>
        <v>3282.1400000000003</v>
      </c>
      <c r="U230" s="278">
        <f t="shared" ref="U230:U235" si="663">+T230*$X$1</f>
        <v>3282.1400000000003</v>
      </c>
      <c r="V230" s="607">
        <f t="shared" ref="V230:V235" si="664">F230+56</f>
        <v>3273.1400000000003</v>
      </c>
      <c r="W230" s="278">
        <f t="shared" ref="W230:W235" si="665">+V230*$X$1</f>
        <v>3273.1400000000003</v>
      </c>
      <c r="X230" s="144"/>
      <c r="Y230" s="153"/>
      <c r="Z230" s="144"/>
      <c r="AA230" s="144"/>
      <c r="AB230" s="189">
        <v>624</v>
      </c>
    </row>
    <row r="231" spans="1:34" ht="12.6" customHeight="1" x14ac:dyDescent="0.2">
      <c r="A231" s="21"/>
      <c r="B231" s="766" t="s">
        <v>192</v>
      </c>
      <c r="C231" s="767"/>
      <c r="D231" s="767"/>
      <c r="E231" s="767"/>
      <c r="F231" s="365">
        <f>5.057*X2</f>
        <v>5552.5860000000002</v>
      </c>
      <c r="G231" s="279">
        <f t="shared" si="650"/>
        <v>5552.5860000000002</v>
      </c>
      <c r="H231" s="277"/>
      <c r="I231" s="331"/>
      <c r="J231" s="87">
        <f t="shared" si="653"/>
        <v>5752.5860000000002</v>
      </c>
      <c r="K231" s="279">
        <f t="shared" si="654"/>
        <v>5752.5860000000002</v>
      </c>
      <c r="L231" s="440">
        <f t="shared" si="655"/>
        <v>5702.5860000000002</v>
      </c>
      <c r="M231" s="279">
        <f t="shared" si="652"/>
        <v>5702.5860000000002</v>
      </c>
      <c r="N231" s="440">
        <f t="shared" si="656"/>
        <v>5662.5860000000002</v>
      </c>
      <c r="O231" s="279">
        <f t="shared" si="657"/>
        <v>5662.5860000000002</v>
      </c>
      <c r="P231" s="440">
        <f t="shared" si="658"/>
        <v>5652.5860000000002</v>
      </c>
      <c r="Q231" s="279">
        <f t="shared" si="659"/>
        <v>5652.5860000000002</v>
      </c>
      <c r="R231" s="440">
        <f t="shared" si="660"/>
        <v>5632.5860000000002</v>
      </c>
      <c r="S231" s="279">
        <f t="shared" si="661"/>
        <v>5632.5860000000002</v>
      </c>
      <c r="T231" s="440">
        <f t="shared" si="662"/>
        <v>5617.5860000000002</v>
      </c>
      <c r="U231" s="279">
        <f t="shared" si="663"/>
        <v>5617.5860000000002</v>
      </c>
      <c r="V231" s="440">
        <f t="shared" si="664"/>
        <v>5608.5860000000002</v>
      </c>
      <c r="W231" s="279">
        <f t="shared" si="665"/>
        <v>5608.5860000000002</v>
      </c>
      <c r="X231" s="144"/>
      <c r="Y231" s="153"/>
      <c r="Z231" s="144"/>
      <c r="AA231" s="144"/>
      <c r="AB231" s="189" t="s">
        <v>193</v>
      </c>
    </row>
    <row r="232" spans="1:34" ht="12.6" customHeight="1" x14ac:dyDescent="0.2">
      <c r="A232" s="21"/>
      <c r="B232" s="733" t="s">
        <v>194</v>
      </c>
      <c r="C232" s="734"/>
      <c r="D232" s="734"/>
      <c r="E232" s="735"/>
      <c r="F232" s="364">
        <f>5.6*X2</f>
        <v>6148.7999999999993</v>
      </c>
      <c r="G232" s="278">
        <f t="shared" ref="G232:G233" si="666">+F232*$X$1</f>
        <v>6148.7999999999993</v>
      </c>
      <c r="H232" s="307"/>
      <c r="I232" s="330"/>
      <c r="J232" s="70">
        <f t="shared" si="653"/>
        <v>6348.7999999999993</v>
      </c>
      <c r="K232" s="278">
        <f t="shared" si="654"/>
        <v>6348.7999999999993</v>
      </c>
      <c r="L232" s="607">
        <f t="shared" si="655"/>
        <v>6298.7999999999993</v>
      </c>
      <c r="M232" s="278">
        <f t="shared" si="652"/>
        <v>6298.7999999999993</v>
      </c>
      <c r="N232" s="607">
        <f t="shared" si="656"/>
        <v>6258.7999999999993</v>
      </c>
      <c r="O232" s="278">
        <f t="shared" si="657"/>
        <v>6258.7999999999993</v>
      </c>
      <c r="P232" s="607">
        <f t="shared" si="658"/>
        <v>6248.7999999999993</v>
      </c>
      <c r="Q232" s="278">
        <f t="shared" si="659"/>
        <v>6248.7999999999993</v>
      </c>
      <c r="R232" s="607">
        <f t="shared" si="660"/>
        <v>6228.7999999999993</v>
      </c>
      <c r="S232" s="278">
        <f t="shared" si="661"/>
        <v>6228.7999999999993</v>
      </c>
      <c r="T232" s="607">
        <f t="shared" si="662"/>
        <v>6213.7999999999993</v>
      </c>
      <c r="U232" s="278">
        <f t="shared" si="663"/>
        <v>6213.7999999999993</v>
      </c>
      <c r="V232" s="607">
        <f t="shared" si="664"/>
        <v>6204.7999999999993</v>
      </c>
      <c r="W232" s="278">
        <f t="shared" si="665"/>
        <v>6204.7999999999993</v>
      </c>
      <c r="X232" s="144"/>
      <c r="Y232" s="153"/>
      <c r="Z232" s="144"/>
      <c r="AA232" s="144"/>
      <c r="AB232" s="189">
        <v>629</v>
      </c>
    </row>
    <row r="233" spans="1:34" ht="12.6" customHeight="1" x14ac:dyDescent="0.2">
      <c r="A233" s="21"/>
      <c r="B233" s="748" t="s">
        <v>399</v>
      </c>
      <c r="C233" s="772"/>
      <c r="D233" s="772"/>
      <c r="E233" s="773"/>
      <c r="F233" s="365">
        <f>8.55*X2</f>
        <v>9387.9000000000015</v>
      </c>
      <c r="G233" s="279">
        <f t="shared" si="666"/>
        <v>9387.9000000000015</v>
      </c>
      <c r="H233" s="277"/>
      <c r="I233" s="331"/>
      <c r="J233" s="87">
        <f t="shared" si="653"/>
        <v>9587.9000000000015</v>
      </c>
      <c r="K233" s="279">
        <f t="shared" si="654"/>
        <v>9587.9000000000015</v>
      </c>
      <c r="L233" s="440">
        <f t="shared" si="655"/>
        <v>9537.9000000000015</v>
      </c>
      <c r="M233" s="279">
        <f t="shared" si="652"/>
        <v>9537.9000000000015</v>
      </c>
      <c r="N233" s="440">
        <f t="shared" si="656"/>
        <v>9497.9000000000015</v>
      </c>
      <c r="O233" s="279">
        <f t="shared" si="657"/>
        <v>9497.9000000000015</v>
      </c>
      <c r="P233" s="440">
        <f t="shared" si="658"/>
        <v>9487.9000000000015</v>
      </c>
      <c r="Q233" s="279">
        <f t="shared" si="659"/>
        <v>9487.9000000000015</v>
      </c>
      <c r="R233" s="440">
        <f t="shared" si="660"/>
        <v>9467.9000000000015</v>
      </c>
      <c r="S233" s="279">
        <f t="shared" si="661"/>
        <v>9467.9000000000015</v>
      </c>
      <c r="T233" s="440">
        <f t="shared" si="662"/>
        <v>9452.9000000000015</v>
      </c>
      <c r="U233" s="279">
        <f t="shared" si="663"/>
        <v>9452.9000000000015</v>
      </c>
      <c r="V233" s="440">
        <f t="shared" si="664"/>
        <v>9443.9000000000015</v>
      </c>
      <c r="W233" s="279">
        <f t="shared" si="665"/>
        <v>9443.9000000000015</v>
      </c>
      <c r="X233" s="144"/>
      <c r="Y233" s="153"/>
      <c r="Z233" s="144"/>
      <c r="AA233" s="144"/>
      <c r="AB233" s="189">
        <v>630</v>
      </c>
    </row>
    <row r="234" spans="1:34" ht="12.6" customHeight="1" x14ac:dyDescent="0.2">
      <c r="A234" s="21"/>
      <c r="B234" s="992" t="s">
        <v>522</v>
      </c>
      <c r="C234" s="993"/>
      <c r="D234" s="993"/>
      <c r="E234" s="994"/>
      <c r="F234" s="515">
        <f>0.96*X2</f>
        <v>1054.08</v>
      </c>
      <c r="G234" s="569">
        <f t="shared" ref="G234" si="667">+F234*$X$1</f>
        <v>1054.08</v>
      </c>
      <c r="H234" s="533"/>
      <c r="I234" s="534"/>
      <c r="J234" s="629">
        <f t="shared" si="653"/>
        <v>1254.08</v>
      </c>
      <c r="K234" s="569">
        <f t="shared" si="654"/>
        <v>1254.08</v>
      </c>
      <c r="L234" s="604">
        <f t="shared" si="655"/>
        <v>1204.08</v>
      </c>
      <c r="M234" s="511">
        <f t="shared" si="652"/>
        <v>1204.08</v>
      </c>
      <c r="N234" s="604">
        <f t="shared" si="656"/>
        <v>1164.08</v>
      </c>
      <c r="O234" s="511">
        <f t="shared" si="657"/>
        <v>1164.08</v>
      </c>
      <c r="P234" s="604">
        <f t="shared" si="658"/>
        <v>1154.08</v>
      </c>
      <c r="Q234" s="511">
        <f t="shared" si="659"/>
        <v>1154.08</v>
      </c>
      <c r="R234" s="604">
        <f t="shared" si="660"/>
        <v>1134.08</v>
      </c>
      <c r="S234" s="511">
        <f t="shared" si="661"/>
        <v>1134.08</v>
      </c>
      <c r="T234" s="604">
        <f t="shared" si="662"/>
        <v>1119.08</v>
      </c>
      <c r="U234" s="511">
        <f t="shared" si="663"/>
        <v>1119.08</v>
      </c>
      <c r="V234" s="604">
        <f t="shared" si="664"/>
        <v>1110.08</v>
      </c>
      <c r="W234" s="511">
        <f t="shared" si="665"/>
        <v>1110.08</v>
      </c>
      <c r="X234" s="144"/>
      <c r="Y234" s="153"/>
      <c r="Z234" s="144"/>
      <c r="AA234" s="144"/>
      <c r="AB234" s="189">
        <v>631</v>
      </c>
    </row>
    <row r="235" spans="1:34" ht="12.6" customHeight="1" x14ac:dyDescent="0.2">
      <c r="A235" s="21"/>
      <c r="B235" s="760" t="s">
        <v>895</v>
      </c>
      <c r="C235" s="761"/>
      <c r="D235" s="761"/>
      <c r="E235" s="762"/>
      <c r="F235" s="365">
        <f>2.69*X2</f>
        <v>2953.62</v>
      </c>
      <c r="G235" s="279">
        <f t="shared" ref="G235" si="668">+F235*$X$1</f>
        <v>2953.62</v>
      </c>
      <c r="H235" s="271"/>
      <c r="I235" s="331"/>
      <c r="J235" s="87">
        <f t="shared" si="653"/>
        <v>3153.62</v>
      </c>
      <c r="K235" s="279">
        <f t="shared" si="654"/>
        <v>3153.62</v>
      </c>
      <c r="L235" s="440">
        <f t="shared" si="655"/>
        <v>3103.62</v>
      </c>
      <c r="M235" s="279">
        <f t="shared" si="652"/>
        <v>3103.62</v>
      </c>
      <c r="N235" s="440">
        <f t="shared" si="656"/>
        <v>3063.62</v>
      </c>
      <c r="O235" s="279">
        <f t="shared" si="657"/>
        <v>3063.62</v>
      </c>
      <c r="P235" s="440">
        <f t="shared" si="658"/>
        <v>3053.62</v>
      </c>
      <c r="Q235" s="279">
        <f t="shared" si="659"/>
        <v>3053.62</v>
      </c>
      <c r="R235" s="440">
        <f t="shared" si="660"/>
        <v>3033.62</v>
      </c>
      <c r="S235" s="279">
        <f t="shared" si="661"/>
        <v>3033.62</v>
      </c>
      <c r="T235" s="440">
        <f t="shared" si="662"/>
        <v>3018.62</v>
      </c>
      <c r="U235" s="279">
        <f t="shared" si="663"/>
        <v>3018.62</v>
      </c>
      <c r="V235" s="440">
        <f t="shared" si="664"/>
        <v>3009.62</v>
      </c>
      <c r="W235" s="279">
        <f t="shared" si="665"/>
        <v>3009.62</v>
      </c>
      <c r="X235" s="144"/>
      <c r="Y235" s="153"/>
      <c r="Z235" s="144"/>
      <c r="AA235" s="144"/>
      <c r="AB235" s="189">
        <v>633</v>
      </c>
    </row>
    <row r="236" spans="1:34" ht="12" customHeight="1" x14ac:dyDescent="0.2">
      <c r="A236" s="18"/>
      <c r="B236" s="3"/>
      <c r="C236" s="3"/>
      <c r="D236" s="3"/>
      <c r="E236" s="3"/>
      <c r="F236" s="4"/>
      <c r="G236" s="4"/>
      <c r="H236" s="3"/>
      <c r="I236" s="3"/>
      <c r="J236" s="3"/>
      <c r="K236" s="163"/>
      <c r="L236" s="164"/>
      <c r="M236" s="164"/>
      <c r="N236" s="164"/>
      <c r="O236" s="164"/>
      <c r="P236" s="164"/>
      <c r="Q236" s="164"/>
      <c r="R236" s="164"/>
      <c r="S236" s="164"/>
      <c r="T236" s="164"/>
      <c r="U236" s="164"/>
      <c r="V236" s="164"/>
      <c r="W236" s="164"/>
      <c r="AB236" s="96"/>
    </row>
    <row r="237" spans="1:34" ht="12" customHeight="1" x14ac:dyDescent="0.2">
      <c r="A237" s="18"/>
      <c r="B237" s="3"/>
      <c r="C237" s="3"/>
      <c r="D237" s="3"/>
      <c r="E237" s="3"/>
      <c r="F237" s="4"/>
      <c r="G237" s="4"/>
      <c r="H237" s="3"/>
      <c r="I237" s="3"/>
      <c r="J237" s="3"/>
      <c r="K237" s="163"/>
      <c r="L237" s="164"/>
      <c r="M237" s="164"/>
      <c r="N237" s="164"/>
      <c r="O237" s="164"/>
      <c r="P237" s="164"/>
      <c r="Q237" s="164"/>
      <c r="R237" s="164"/>
      <c r="S237" s="164"/>
      <c r="T237" s="164"/>
      <c r="U237" s="164"/>
      <c r="V237" s="164"/>
      <c r="W237" s="164"/>
      <c r="AB237" s="4"/>
    </row>
    <row r="238" spans="1:34" ht="12.6" customHeight="1" x14ac:dyDescent="0.2">
      <c r="A238" s="18"/>
      <c r="B238" s="3"/>
      <c r="C238" s="3"/>
      <c r="D238" s="3"/>
      <c r="E238" s="74"/>
      <c r="F238" s="737"/>
      <c r="G238" s="737"/>
      <c r="H238" s="737"/>
      <c r="I238" s="737"/>
      <c r="J238" s="737"/>
      <c r="K238" s="268"/>
      <c r="L238" s="267"/>
      <c r="M238" s="267"/>
      <c r="N238" s="164"/>
      <c r="O238" s="164"/>
      <c r="P238" s="164"/>
      <c r="Q238" s="164"/>
      <c r="R238" s="164"/>
      <c r="S238" s="164"/>
      <c r="T238" s="164"/>
      <c r="U238" s="164"/>
      <c r="V238" s="164"/>
      <c r="W238" s="164"/>
      <c r="AB238" s="4"/>
    </row>
    <row r="239" spans="1:34" ht="15.75" customHeight="1" x14ac:dyDescent="0.2">
      <c r="A239" s="18"/>
      <c r="B239" s="736" t="s">
        <v>11</v>
      </c>
      <c r="C239" s="809" t="s">
        <v>12</v>
      </c>
      <c r="D239" s="810"/>
      <c r="E239" s="810"/>
      <c r="F239" s="764" t="s">
        <v>13</v>
      </c>
      <c r="G239" s="764" t="s">
        <v>13</v>
      </c>
      <c r="H239" s="657" t="s">
        <v>790</v>
      </c>
      <c r="I239" s="657"/>
      <c r="J239" s="658"/>
      <c r="K239" s="658"/>
      <c r="L239" s="658"/>
      <c r="M239" s="658"/>
      <c r="N239" s="658"/>
      <c r="O239" s="658"/>
      <c r="P239" s="658"/>
      <c r="Q239" s="658"/>
      <c r="R239" s="658"/>
      <c r="S239" s="658"/>
      <c r="T239" s="658"/>
      <c r="U239" s="658"/>
      <c r="V239" s="658"/>
      <c r="W239" s="658"/>
      <c r="X239" s="678" t="s">
        <v>14</v>
      </c>
      <c r="Y239" s="679"/>
      <c r="Z239" s="679"/>
      <c r="AA239" s="680"/>
      <c r="AB239" s="676" t="s">
        <v>15</v>
      </c>
      <c r="AF239" s="674" t="s">
        <v>3</v>
      </c>
      <c r="AG239" s="675"/>
      <c r="AH239" s="675"/>
    </row>
    <row r="240" spans="1:34" ht="11.25" customHeight="1" x14ac:dyDescent="0.2">
      <c r="A240" s="18"/>
      <c r="B240" s="736"/>
      <c r="C240" s="810"/>
      <c r="D240" s="810"/>
      <c r="E240" s="810"/>
      <c r="F240" s="765"/>
      <c r="G240" s="765"/>
      <c r="H240" s="459"/>
      <c r="I240" s="451" t="s">
        <v>285</v>
      </c>
      <c r="J240" s="453"/>
      <c r="K240" s="451" t="s">
        <v>17</v>
      </c>
      <c r="L240" s="454"/>
      <c r="M240" s="454" t="s">
        <v>18</v>
      </c>
      <c r="N240" s="454"/>
      <c r="O240" s="451" t="s">
        <v>19</v>
      </c>
      <c r="P240" s="454"/>
      <c r="Q240" s="454" t="s">
        <v>286</v>
      </c>
      <c r="R240" s="454"/>
      <c r="S240" s="454" t="s">
        <v>20</v>
      </c>
      <c r="T240" s="454"/>
      <c r="U240" s="454" t="s">
        <v>21</v>
      </c>
      <c r="V240" s="454"/>
      <c r="W240" s="454" t="s">
        <v>22</v>
      </c>
      <c r="X240" s="681"/>
      <c r="Y240" s="682"/>
      <c r="Z240" s="682"/>
      <c r="AA240" s="683"/>
      <c r="AB240" s="677"/>
    </row>
    <row r="241" spans="1:28" ht="12.6" customHeight="1" x14ac:dyDescent="0.2">
      <c r="A241" s="21"/>
      <c r="B241" s="733" t="s">
        <v>488</v>
      </c>
      <c r="C241" s="734"/>
      <c r="D241" s="734"/>
      <c r="E241" s="735"/>
      <c r="F241" s="364">
        <f>1.352*X2</f>
        <v>1484.4960000000001</v>
      </c>
      <c r="G241" s="280">
        <f>+F241*$X$1</f>
        <v>1484.4960000000001</v>
      </c>
      <c r="H241" s="307"/>
      <c r="I241" s="336"/>
      <c r="J241" s="70">
        <f>F241+200</f>
        <v>1684.4960000000001</v>
      </c>
      <c r="K241" s="278">
        <f>+J241*$X$1</f>
        <v>1684.4960000000001</v>
      </c>
      <c r="L241" s="607">
        <f>F241+150</f>
        <v>1634.4960000000001</v>
      </c>
      <c r="M241" s="278">
        <f>+L241*$X$1</f>
        <v>1634.4960000000001</v>
      </c>
      <c r="N241" s="607">
        <f>F241+110</f>
        <v>1594.4960000000001</v>
      </c>
      <c r="O241" s="278">
        <f>+N241*$X$1</f>
        <v>1594.4960000000001</v>
      </c>
      <c r="P241" s="607">
        <f>F241+100</f>
        <v>1584.4960000000001</v>
      </c>
      <c r="Q241" s="278">
        <f>+P241*$X$1</f>
        <v>1584.4960000000001</v>
      </c>
      <c r="R241" s="607">
        <f>F241+80</f>
        <v>1564.4960000000001</v>
      </c>
      <c r="S241" s="278">
        <f>+R241*$X$1</f>
        <v>1564.4960000000001</v>
      </c>
      <c r="T241" s="607">
        <f>F241+65</f>
        <v>1549.4960000000001</v>
      </c>
      <c r="U241" s="278">
        <f>+T241*$X$1</f>
        <v>1549.4960000000001</v>
      </c>
      <c r="V241" s="607">
        <f>F241+56</f>
        <v>1540.4960000000001</v>
      </c>
      <c r="W241" s="278">
        <f>+V241*$X$1</f>
        <v>1540.4960000000001</v>
      </c>
      <c r="X241" s="144"/>
      <c r="Y241" s="153"/>
      <c r="Z241" s="144"/>
      <c r="AA241" s="144"/>
      <c r="AB241" s="189">
        <v>640</v>
      </c>
    </row>
    <row r="242" spans="1:28" ht="12.6" customHeight="1" x14ac:dyDescent="0.2">
      <c r="A242" s="18"/>
      <c r="B242" s="672" t="s">
        <v>195</v>
      </c>
      <c r="C242" s="673"/>
      <c r="D242" s="673"/>
      <c r="E242" s="673"/>
      <c r="F242" s="365">
        <f>2.7*X2</f>
        <v>2964.6000000000004</v>
      </c>
      <c r="G242" s="279">
        <f>+F242*$X$1</f>
        <v>2964.6000000000004</v>
      </c>
      <c r="H242" s="440">
        <f>F242+600</f>
        <v>3564.6000000000004</v>
      </c>
      <c r="I242" s="279">
        <f t="shared" ref="I242" si="669">+H242*$X$1</f>
        <v>3564.6000000000004</v>
      </c>
      <c r="J242" s="440">
        <f>F242+200</f>
        <v>3164.6000000000004</v>
      </c>
      <c r="K242" s="279">
        <f t="shared" ref="K242" si="670">+J242*$X$1</f>
        <v>3164.6000000000004</v>
      </c>
      <c r="L242" s="440">
        <f>F242+150</f>
        <v>3114.6000000000004</v>
      </c>
      <c r="M242" s="279">
        <f t="shared" ref="M242" si="671">+L242*$X$1</f>
        <v>3114.6000000000004</v>
      </c>
      <c r="N242" s="440">
        <f>F242+100</f>
        <v>3064.6000000000004</v>
      </c>
      <c r="O242" s="279">
        <f>+N242*$X$1</f>
        <v>3064.6000000000004</v>
      </c>
      <c r="P242" s="440">
        <f>F242+90</f>
        <v>3054.6000000000004</v>
      </c>
      <c r="Q242" s="279">
        <f t="shared" ref="Q242" si="672">+P242*$X$1</f>
        <v>3054.6000000000004</v>
      </c>
      <c r="R242" s="440">
        <f>F242+70</f>
        <v>3034.6000000000004</v>
      </c>
      <c r="S242" s="279">
        <f>+R242*$X$1</f>
        <v>3034.6000000000004</v>
      </c>
      <c r="T242" s="440">
        <f>F242+56</f>
        <v>3020.6000000000004</v>
      </c>
      <c r="U242" s="279">
        <f t="shared" ref="U242" si="673">+T242*$X$1</f>
        <v>3020.6000000000004</v>
      </c>
      <c r="V242" s="440">
        <f>F242+49</f>
        <v>3013.6000000000004</v>
      </c>
      <c r="W242" s="279">
        <f t="shared" ref="W242" si="674">+V242*$X$1</f>
        <v>3013.6000000000004</v>
      </c>
      <c r="X242" s="685"/>
      <c r="Y242" s="777"/>
      <c r="Z242" s="777"/>
      <c r="AA242" s="686"/>
      <c r="AB242" s="189">
        <v>705</v>
      </c>
    </row>
    <row r="243" spans="1:28" ht="12.6" customHeight="1" x14ac:dyDescent="0.2">
      <c r="A243" s="18"/>
      <c r="B243" s="690" t="s">
        <v>500</v>
      </c>
      <c r="C243" s="691"/>
      <c r="D243" s="691"/>
      <c r="E243" s="691"/>
      <c r="F243" s="278">
        <v>9800</v>
      </c>
      <c r="G243" s="278">
        <f t="shared" ref="G243" si="675">+F243*$X$1</f>
        <v>9800</v>
      </c>
      <c r="H243" s="607">
        <f>F243+600</f>
        <v>10400</v>
      </c>
      <c r="I243" s="278">
        <f t="shared" ref="I243" si="676">+H243*$X$1</f>
        <v>10400</v>
      </c>
      <c r="J243" s="607">
        <f>F243+260</f>
        <v>10060</v>
      </c>
      <c r="K243" s="278">
        <f t="shared" ref="K243" si="677">+J243*$X$1</f>
        <v>10060</v>
      </c>
      <c r="L243" s="607">
        <f>F243+230</f>
        <v>10030</v>
      </c>
      <c r="M243" s="278">
        <f t="shared" ref="M243" si="678">+L243*$X$1</f>
        <v>10030</v>
      </c>
      <c r="N243" s="607">
        <f>F243+200</f>
        <v>10000</v>
      </c>
      <c r="O243" s="278">
        <f t="shared" ref="O243" si="679">+N243*$X$1</f>
        <v>10000</v>
      </c>
      <c r="P243" s="607">
        <f>F243+170</f>
        <v>9970</v>
      </c>
      <c r="Q243" s="278">
        <f t="shared" ref="Q243" si="680">+P243*$X$1</f>
        <v>9970</v>
      </c>
      <c r="R243" s="607">
        <f>F243+150</f>
        <v>9950</v>
      </c>
      <c r="S243" s="278">
        <f t="shared" ref="S243" si="681">+R243*$X$1</f>
        <v>9950</v>
      </c>
      <c r="T243" s="100">
        <f>F243+130</f>
        <v>9930</v>
      </c>
      <c r="U243" s="251">
        <f t="shared" ref="U243" si="682">+T243*$X$1</f>
        <v>9930</v>
      </c>
      <c r="V243" s="100">
        <f>F243+110</f>
        <v>9910</v>
      </c>
      <c r="W243" s="251">
        <f t="shared" ref="W243" si="683">+V243*$X$1</f>
        <v>9910</v>
      </c>
      <c r="X243" s="671"/>
      <c r="Y243" s="652"/>
      <c r="Z243" s="652"/>
      <c r="AA243" s="653"/>
      <c r="AB243" s="189">
        <v>815</v>
      </c>
    </row>
    <row r="244" spans="1:28" ht="12.6" customHeight="1" x14ac:dyDescent="0.2">
      <c r="A244" s="18"/>
      <c r="B244" s="655" t="s">
        <v>927</v>
      </c>
      <c r="C244" s="747"/>
      <c r="D244" s="747"/>
      <c r="E244" s="747"/>
      <c r="F244" s="365">
        <f>32.25*X2</f>
        <v>35410.5</v>
      </c>
      <c r="G244" s="279">
        <f>+F244*$X$1</f>
        <v>35410.5</v>
      </c>
      <c r="H244" s="440">
        <f>F244+600</f>
        <v>36010.5</v>
      </c>
      <c r="I244" s="279">
        <f t="shared" ref="I244" si="684">+H244*$X$1</f>
        <v>36010.5</v>
      </c>
      <c r="J244" s="440">
        <f>F244+260</f>
        <v>35670.5</v>
      </c>
      <c r="K244" s="279">
        <f t="shared" ref="K244" si="685">+J244*$X$1</f>
        <v>35670.5</v>
      </c>
      <c r="L244" s="440">
        <f>F244+230</f>
        <v>35640.5</v>
      </c>
      <c r="M244" s="279">
        <f t="shared" ref="M244" si="686">+L244*$X$1</f>
        <v>35640.5</v>
      </c>
      <c r="N244" s="440">
        <f>F244+200</f>
        <v>35610.5</v>
      </c>
      <c r="O244" s="279">
        <f t="shared" ref="O244" si="687">+N244*$X$1</f>
        <v>35610.5</v>
      </c>
      <c r="P244" s="440">
        <f>F244+170</f>
        <v>35580.5</v>
      </c>
      <c r="Q244" s="279">
        <f t="shared" ref="Q244" si="688">+P244*$X$1</f>
        <v>35580.5</v>
      </c>
      <c r="R244" s="440">
        <f>F244+150</f>
        <v>35560.5</v>
      </c>
      <c r="S244" s="279">
        <f t="shared" ref="S244" si="689">+R244*$X$1</f>
        <v>35560.5</v>
      </c>
      <c r="T244" s="99">
        <f>F244+130</f>
        <v>35540.5</v>
      </c>
      <c r="U244" s="294">
        <f t="shared" ref="U244" si="690">+T244*$X$1</f>
        <v>35540.5</v>
      </c>
      <c r="V244" s="99">
        <f>F244+110</f>
        <v>35520.5</v>
      </c>
      <c r="W244" s="294">
        <f t="shared" ref="W244" si="691">+V244*$X$1</f>
        <v>35520.5</v>
      </c>
      <c r="X244" s="671"/>
      <c r="Y244" s="652"/>
      <c r="Z244" s="652"/>
      <c r="AA244" s="653"/>
      <c r="AB244" s="189">
        <v>817</v>
      </c>
    </row>
    <row r="245" spans="1:28" ht="12.6" customHeight="1" x14ac:dyDescent="0.2">
      <c r="A245" s="18"/>
      <c r="B245" s="655" t="s">
        <v>928</v>
      </c>
      <c r="C245" s="747"/>
      <c r="D245" s="747"/>
      <c r="E245" s="747"/>
      <c r="F245" s="364">
        <f>16.04*X2</f>
        <v>17611.919999999998</v>
      </c>
      <c r="G245" s="278">
        <f>+F245*$X$1</f>
        <v>17611.919999999998</v>
      </c>
      <c r="H245" s="607">
        <f>F245+600</f>
        <v>18211.919999999998</v>
      </c>
      <c r="I245" s="278">
        <f t="shared" ref="I245" si="692">+H245*$X$1</f>
        <v>18211.919999999998</v>
      </c>
      <c r="J245" s="607">
        <f>F245+260</f>
        <v>17871.919999999998</v>
      </c>
      <c r="K245" s="278">
        <f t="shared" ref="K245" si="693">+J245*$X$1</f>
        <v>17871.919999999998</v>
      </c>
      <c r="L245" s="607">
        <f>F245+230</f>
        <v>17841.919999999998</v>
      </c>
      <c r="M245" s="278">
        <f t="shared" ref="M245" si="694">+L245*$X$1</f>
        <v>17841.919999999998</v>
      </c>
      <c r="N245" s="607">
        <f>F245+200</f>
        <v>17811.919999999998</v>
      </c>
      <c r="O245" s="278">
        <f t="shared" ref="O245" si="695">+N245*$X$1</f>
        <v>17811.919999999998</v>
      </c>
      <c r="P245" s="607">
        <f>F245+170</f>
        <v>17781.919999999998</v>
      </c>
      <c r="Q245" s="278">
        <f t="shared" ref="Q245" si="696">+P245*$X$1</f>
        <v>17781.919999999998</v>
      </c>
      <c r="R245" s="607">
        <f>F245+150</f>
        <v>17761.919999999998</v>
      </c>
      <c r="S245" s="278">
        <f t="shared" ref="S245" si="697">+R245*$X$1</f>
        <v>17761.919999999998</v>
      </c>
      <c r="T245" s="100">
        <f>F245+130</f>
        <v>17741.919999999998</v>
      </c>
      <c r="U245" s="251">
        <f t="shared" ref="U245" si="698">+T245*$X$1</f>
        <v>17741.919999999998</v>
      </c>
      <c r="V245" s="100">
        <f>F245+110</f>
        <v>17721.919999999998</v>
      </c>
      <c r="W245" s="251">
        <f t="shared" ref="W245" si="699">+V245*$X$1</f>
        <v>17721.919999999998</v>
      </c>
      <c r="X245" s="671"/>
      <c r="Y245" s="652"/>
      <c r="Z245" s="652"/>
      <c r="AA245" s="653"/>
      <c r="AB245" s="189">
        <v>818</v>
      </c>
    </row>
    <row r="246" spans="1:28" ht="12.6" customHeight="1" x14ac:dyDescent="0.2">
      <c r="A246" s="18"/>
      <c r="B246" s="672" t="s">
        <v>499</v>
      </c>
      <c r="C246" s="673"/>
      <c r="D246" s="673"/>
      <c r="E246" s="673"/>
      <c r="F246" s="279">
        <v>13990</v>
      </c>
      <c r="G246" s="279">
        <f t="shared" ref="G246" si="700">+F246*$X$1</f>
        <v>13990</v>
      </c>
      <c r="H246" s="440">
        <f t="shared" ref="H246:H274" si="701">F246+600</f>
        <v>14590</v>
      </c>
      <c r="I246" s="279">
        <f t="shared" ref="I246:I274" si="702">+H246*$X$1</f>
        <v>14590</v>
      </c>
      <c r="J246" s="440">
        <f t="shared" ref="J246:J274" si="703">F246+260</f>
        <v>14250</v>
      </c>
      <c r="K246" s="279">
        <f t="shared" ref="K246:K274" si="704">+J246*$X$1</f>
        <v>14250</v>
      </c>
      <c r="L246" s="440">
        <f t="shared" ref="L246:L274" si="705">F246+230</f>
        <v>14220</v>
      </c>
      <c r="M246" s="279">
        <f t="shared" ref="M246:M274" si="706">+L246*$X$1</f>
        <v>14220</v>
      </c>
      <c r="N246" s="440">
        <f t="shared" ref="N246:N274" si="707">F246+200</f>
        <v>14190</v>
      </c>
      <c r="O246" s="279">
        <f t="shared" ref="O246:O274" si="708">+N246*$X$1</f>
        <v>14190</v>
      </c>
      <c r="P246" s="440">
        <f t="shared" ref="P246:P274" si="709">F246+170</f>
        <v>14160</v>
      </c>
      <c r="Q246" s="279">
        <f t="shared" ref="Q246:Q274" si="710">+P246*$X$1</f>
        <v>14160</v>
      </c>
      <c r="R246" s="440">
        <f t="shared" ref="R246:R274" si="711">F246+150</f>
        <v>14140</v>
      </c>
      <c r="S246" s="279">
        <f t="shared" ref="S246:S274" si="712">+R246*$X$1</f>
        <v>14140</v>
      </c>
      <c r="T246" s="99">
        <f t="shared" ref="T246:T274" si="713">F246+130</f>
        <v>14120</v>
      </c>
      <c r="U246" s="294">
        <f t="shared" ref="U246:U274" si="714">+T246*$X$1</f>
        <v>14120</v>
      </c>
      <c r="V246" s="99">
        <f t="shared" ref="V246:V274" si="715">F246+110</f>
        <v>14100</v>
      </c>
      <c r="W246" s="294">
        <f t="shared" ref="W246:W274" si="716">+V246*$X$1</f>
        <v>14100</v>
      </c>
      <c r="X246" s="671"/>
      <c r="Y246" s="652"/>
      <c r="Z246" s="652"/>
      <c r="AA246" s="653"/>
      <c r="AB246" s="189">
        <v>819</v>
      </c>
    </row>
    <row r="247" spans="1:28" ht="12.6" customHeight="1" x14ac:dyDescent="0.2">
      <c r="A247" s="18"/>
      <c r="B247" s="690" t="s">
        <v>680</v>
      </c>
      <c r="C247" s="691"/>
      <c r="D247" s="691"/>
      <c r="E247" s="691"/>
      <c r="F247" s="364">
        <f>4.7*X2</f>
        <v>5160.6000000000004</v>
      </c>
      <c r="G247" s="278">
        <f>+F247*$X$1</f>
        <v>5160.6000000000004</v>
      </c>
      <c r="H247" s="607">
        <f t="shared" si="701"/>
        <v>5760.6</v>
      </c>
      <c r="I247" s="278">
        <f t="shared" si="702"/>
        <v>5760.6</v>
      </c>
      <c r="J247" s="607">
        <f t="shared" si="703"/>
        <v>5420.6</v>
      </c>
      <c r="K247" s="278">
        <f t="shared" si="704"/>
        <v>5420.6</v>
      </c>
      <c r="L247" s="607">
        <f t="shared" si="705"/>
        <v>5390.6</v>
      </c>
      <c r="M247" s="278">
        <f t="shared" si="706"/>
        <v>5390.6</v>
      </c>
      <c r="N247" s="607">
        <f t="shared" si="707"/>
        <v>5360.6</v>
      </c>
      <c r="O247" s="278">
        <f t="shared" si="708"/>
        <v>5360.6</v>
      </c>
      <c r="P247" s="607">
        <f t="shared" si="709"/>
        <v>5330.6</v>
      </c>
      <c r="Q247" s="278">
        <f t="shared" si="710"/>
        <v>5330.6</v>
      </c>
      <c r="R247" s="607">
        <f t="shared" si="711"/>
        <v>5310.6</v>
      </c>
      <c r="S247" s="278">
        <f t="shared" si="712"/>
        <v>5310.6</v>
      </c>
      <c r="T247" s="100">
        <f t="shared" si="713"/>
        <v>5290.6</v>
      </c>
      <c r="U247" s="251">
        <f t="shared" si="714"/>
        <v>5290.6</v>
      </c>
      <c r="V247" s="100">
        <f t="shared" si="715"/>
        <v>5270.6</v>
      </c>
      <c r="W247" s="251">
        <f t="shared" si="716"/>
        <v>5270.6</v>
      </c>
      <c r="X247" s="671"/>
      <c r="Y247" s="652"/>
      <c r="Z247" s="652"/>
      <c r="AA247" s="653"/>
      <c r="AB247" s="189">
        <v>821</v>
      </c>
    </row>
    <row r="248" spans="1:28" ht="12.6" customHeight="1" x14ac:dyDescent="0.2">
      <c r="A248" s="18"/>
      <c r="B248" s="655" t="s">
        <v>877</v>
      </c>
      <c r="C248" s="656"/>
      <c r="D248" s="656"/>
      <c r="E248" s="656"/>
      <c r="F248" s="365">
        <f>12*X2</f>
        <v>13176</v>
      </c>
      <c r="G248" s="279">
        <f t="shared" ref="G248" si="717">+F248*$X$1</f>
        <v>13176</v>
      </c>
      <c r="H248" s="440">
        <f t="shared" si="701"/>
        <v>13776</v>
      </c>
      <c r="I248" s="279">
        <f t="shared" si="702"/>
        <v>13776</v>
      </c>
      <c r="J248" s="440">
        <f t="shared" si="703"/>
        <v>13436</v>
      </c>
      <c r="K248" s="279">
        <f t="shared" si="704"/>
        <v>13436</v>
      </c>
      <c r="L248" s="440">
        <f t="shared" si="705"/>
        <v>13406</v>
      </c>
      <c r="M248" s="279">
        <f t="shared" si="706"/>
        <v>13406</v>
      </c>
      <c r="N248" s="440">
        <f t="shared" si="707"/>
        <v>13376</v>
      </c>
      <c r="O248" s="279">
        <f t="shared" si="708"/>
        <v>13376</v>
      </c>
      <c r="P248" s="440">
        <f t="shared" si="709"/>
        <v>13346</v>
      </c>
      <c r="Q248" s="279">
        <f t="shared" si="710"/>
        <v>13346</v>
      </c>
      <c r="R248" s="440">
        <f t="shared" si="711"/>
        <v>13326</v>
      </c>
      <c r="S248" s="279">
        <f t="shared" si="712"/>
        <v>13326</v>
      </c>
      <c r="T248" s="99">
        <f t="shared" si="713"/>
        <v>13306</v>
      </c>
      <c r="U248" s="294">
        <f t="shared" si="714"/>
        <v>13306</v>
      </c>
      <c r="V248" s="99">
        <f t="shared" si="715"/>
        <v>13286</v>
      </c>
      <c r="W248" s="294">
        <f t="shared" si="716"/>
        <v>13286</v>
      </c>
      <c r="X248" s="671"/>
      <c r="Y248" s="652"/>
      <c r="Z248" s="652"/>
      <c r="AA248" s="653"/>
      <c r="AB248" s="189">
        <v>822</v>
      </c>
    </row>
    <row r="249" spans="1:28" ht="12.6" customHeight="1" x14ac:dyDescent="0.2">
      <c r="A249" s="18"/>
      <c r="B249" s="690" t="s">
        <v>495</v>
      </c>
      <c r="C249" s="691"/>
      <c r="D249" s="691"/>
      <c r="E249" s="691"/>
      <c r="F249" s="278">
        <v>12995</v>
      </c>
      <c r="G249" s="278">
        <f>+F249*$X$1</f>
        <v>12995</v>
      </c>
      <c r="H249" s="607">
        <f t="shared" si="701"/>
        <v>13595</v>
      </c>
      <c r="I249" s="278">
        <f t="shared" si="702"/>
        <v>13595</v>
      </c>
      <c r="J249" s="607">
        <f t="shared" si="703"/>
        <v>13255</v>
      </c>
      <c r="K249" s="278">
        <f t="shared" si="704"/>
        <v>13255</v>
      </c>
      <c r="L249" s="607">
        <f t="shared" si="705"/>
        <v>13225</v>
      </c>
      <c r="M249" s="278">
        <f t="shared" si="706"/>
        <v>13225</v>
      </c>
      <c r="N249" s="607">
        <f t="shared" si="707"/>
        <v>13195</v>
      </c>
      <c r="O249" s="278">
        <f t="shared" si="708"/>
        <v>13195</v>
      </c>
      <c r="P249" s="607">
        <f t="shared" si="709"/>
        <v>13165</v>
      </c>
      <c r="Q249" s="278">
        <f t="shared" si="710"/>
        <v>13165</v>
      </c>
      <c r="R249" s="607">
        <f t="shared" si="711"/>
        <v>13145</v>
      </c>
      <c r="S249" s="278">
        <f t="shared" si="712"/>
        <v>13145</v>
      </c>
      <c r="T249" s="100">
        <f t="shared" si="713"/>
        <v>13125</v>
      </c>
      <c r="U249" s="251">
        <f t="shared" si="714"/>
        <v>13125</v>
      </c>
      <c r="V249" s="100">
        <f t="shared" si="715"/>
        <v>13105</v>
      </c>
      <c r="W249" s="251">
        <f t="shared" si="716"/>
        <v>13105</v>
      </c>
      <c r="X249" s="671"/>
      <c r="Y249" s="652"/>
      <c r="Z249" s="652"/>
      <c r="AA249" s="653"/>
      <c r="AB249" s="189">
        <v>823</v>
      </c>
    </row>
    <row r="250" spans="1:28" ht="12.6" customHeight="1" x14ac:dyDescent="0.2">
      <c r="A250" s="18"/>
      <c r="B250" s="655" t="s">
        <v>887</v>
      </c>
      <c r="C250" s="656"/>
      <c r="D250" s="656"/>
      <c r="E250" s="656"/>
      <c r="F250" s="365">
        <f>3.45*X2</f>
        <v>3788.1000000000004</v>
      </c>
      <c r="G250" s="279">
        <f t="shared" ref="G250" si="718">+F250*$X$1</f>
        <v>3788.1000000000004</v>
      </c>
      <c r="H250" s="440">
        <f t="shared" si="701"/>
        <v>4388.1000000000004</v>
      </c>
      <c r="I250" s="279">
        <f t="shared" si="702"/>
        <v>4388.1000000000004</v>
      </c>
      <c r="J250" s="440">
        <f t="shared" si="703"/>
        <v>4048.1000000000004</v>
      </c>
      <c r="K250" s="279">
        <f t="shared" si="704"/>
        <v>4048.1000000000004</v>
      </c>
      <c r="L250" s="440">
        <f t="shared" si="705"/>
        <v>4018.1000000000004</v>
      </c>
      <c r="M250" s="279">
        <f t="shared" si="706"/>
        <v>4018.1000000000004</v>
      </c>
      <c r="N250" s="440">
        <f t="shared" si="707"/>
        <v>3988.1000000000004</v>
      </c>
      <c r="O250" s="279">
        <f t="shared" si="708"/>
        <v>3988.1000000000004</v>
      </c>
      <c r="P250" s="440">
        <f t="shared" si="709"/>
        <v>3958.1000000000004</v>
      </c>
      <c r="Q250" s="279">
        <f t="shared" si="710"/>
        <v>3958.1000000000004</v>
      </c>
      <c r="R250" s="440">
        <f t="shared" si="711"/>
        <v>3938.1000000000004</v>
      </c>
      <c r="S250" s="279">
        <f t="shared" si="712"/>
        <v>3938.1000000000004</v>
      </c>
      <c r="T250" s="99">
        <f t="shared" si="713"/>
        <v>3918.1000000000004</v>
      </c>
      <c r="U250" s="294">
        <f t="shared" si="714"/>
        <v>3918.1000000000004</v>
      </c>
      <c r="V250" s="99">
        <f t="shared" si="715"/>
        <v>3898.1000000000004</v>
      </c>
      <c r="W250" s="294">
        <f t="shared" si="716"/>
        <v>3898.1000000000004</v>
      </c>
      <c r="X250" s="671"/>
      <c r="Y250" s="652"/>
      <c r="Z250" s="652"/>
      <c r="AA250" s="653"/>
      <c r="AB250" s="189">
        <v>824</v>
      </c>
    </row>
    <row r="251" spans="1:28" ht="12.6" customHeight="1" x14ac:dyDescent="0.2">
      <c r="A251" s="18"/>
      <c r="B251" s="690" t="s">
        <v>820</v>
      </c>
      <c r="C251" s="691"/>
      <c r="D251" s="691"/>
      <c r="E251" s="691"/>
      <c r="F251" s="364">
        <f>3.4*X2</f>
        <v>3733.2</v>
      </c>
      <c r="G251" s="278">
        <f>+F251*$X$1</f>
        <v>3733.2</v>
      </c>
      <c r="H251" s="607">
        <f t="shared" si="701"/>
        <v>4333.2</v>
      </c>
      <c r="I251" s="278">
        <f t="shared" si="702"/>
        <v>4333.2</v>
      </c>
      <c r="J251" s="607">
        <f t="shared" si="703"/>
        <v>3993.2</v>
      </c>
      <c r="K251" s="278">
        <f t="shared" si="704"/>
        <v>3993.2</v>
      </c>
      <c r="L251" s="607">
        <f t="shared" si="705"/>
        <v>3963.2</v>
      </c>
      <c r="M251" s="278">
        <f t="shared" si="706"/>
        <v>3963.2</v>
      </c>
      <c r="N251" s="607">
        <f t="shared" si="707"/>
        <v>3933.2</v>
      </c>
      <c r="O251" s="278">
        <f t="shared" si="708"/>
        <v>3933.2</v>
      </c>
      <c r="P251" s="607">
        <f t="shared" si="709"/>
        <v>3903.2</v>
      </c>
      <c r="Q251" s="278">
        <f t="shared" si="710"/>
        <v>3903.2</v>
      </c>
      <c r="R251" s="607">
        <f t="shared" si="711"/>
        <v>3883.2</v>
      </c>
      <c r="S251" s="278">
        <f t="shared" si="712"/>
        <v>3883.2</v>
      </c>
      <c r="T251" s="100">
        <f t="shared" si="713"/>
        <v>3863.2</v>
      </c>
      <c r="U251" s="251">
        <f t="shared" si="714"/>
        <v>3863.2</v>
      </c>
      <c r="V251" s="100">
        <f t="shared" si="715"/>
        <v>3843.2</v>
      </c>
      <c r="W251" s="251">
        <f t="shared" si="716"/>
        <v>3843.2</v>
      </c>
      <c r="X251" s="671"/>
      <c r="Y251" s="652"/>
      <c r="Z251" s="652"/>
      <c r="AA251" s="653"/>
      <c r="AB251" s="189">
        <v>825</v>
      </c>
    </row>
    <row r="252" spans="1:28" ht="12.6" customHeight="1" x14ac:dyDescent="0.2">
      <c r="A252" s="18"/>
      <c r="B252" s="672" t="s">
        <v>675</v>
      </c>
      <c r="C252" s="673"/>
      <c r="D252" s="673"/>
      <c r="E252" s="673"/>
      <c r="F252" s="365">
        <f>7.5*X2</f>
        <v>8235</v>
      </c>
      <c r="G252" s="279">
        <f>+F252*$X$1</f>
        <v>8235</v>
      </c>
      <c r="H252" s="440">
        <f t="shared" si="701"/>
        <v>8835</v>
      </c>
      <c r="I252" s="279">
        <f t="shared" si="702"/>
        <v>8835</v>
      </c>
      <c r="J252" s="440">
        <f t="shared" si="703"/>
        <v>8495</v>
      </c>
      <c r="K252" s="279">
        <f t="shared" si="704"/>
        <v>8495</v>
      </c>
      <c r="L252" s="440">
        <f t="shared" si="705"/>
        <v>8465</v>
      </c>
      <c r="M252" s="279">
        <f t="shared" si="706"/>
        <v>8465</v>
      </c>
      <c r="N252" s="440">
        <f t="shared" si="707"/>
        <v>8435</v>
      </c>
      <c r="O252" s="279">
        <f t="shared" si="708"/>
        <v>8435</v>
      </c>
      <c r="P252" s="440">
        <f t="shared" si="709"/>
        <v>8405</v>
      </c>
      <c r="Q252" s="279">
        <f t="shared" si="710"/>
        <v>8405</v>
      </c>
      <c r="R252" s="440">
        <f t="shared" si="711"/>
        <v>8385</v>
      </c>
      <c r="S252" s="279">
        <f t="shared" si="712"/>
        <v>8385</v>
      </c>
      <c r="T252" s="99">
        <f t="shared" si="713"/>
        <v>8365</v>
      </c>
      <c r="U252" s="294">
        <f t="shared" si="714"/>
        <v>8365</v>
      </c>
      <c r="V252" s="99">
        <f t="shared" si="715"/>
        <v>8345</v>
      </c>
      <c r="W252" s="294">
        <f t="shared" si="716"/>
        <v>8345</v>
      </c>
      <c r="X252" s="671"/>
      <c r="Y252" s="652"/>
      <c r="Z252" s="652"/>
      <c r="AA252" s="653"/>
      <c r="AB252" s="189">
        <v>826</v>
      </c>
    </row>
    <row r="253" spans="1:28" ht="12.6" customHeight="1" x14ac:dyDescent="0.2">
      <c r="A253" s="18"/>
      <c r="B253" s="728" t="s">
        <v>855</v>
      </c>
      <c r="C253" s="691"/>
      <c r="D253" s="691"/>
      <c r="E253" s="691"/>
      <c r="F253" s="364">
        <f>2.9*X2</f>
        <v>3184.2</v>
      </c>
      <c r="G253" s="278">
        <f t="shared" ref="G253" si="719">+F253*$X$1</f>
        <v>3184.2</v>
      </c>
      <c r="H253" s="607">
        <f t="shared" si="701"/>
        <v>3784.2</v>
      </c>
      <c r="I253" s="278">
        <f t="shared" si="702"/>
        <v>3784.2</v>
      </c>
      <c r="J253" s="607">
        <f t="shared" si="703"/>
        <v>3444.2</v>
      </c>
      <c r="K253" s="278">
        <f t="shared" si="704"/>
        <v>3444.2</v>
      </c>
      <c r="L253" s="607">
        <f t="shared" si="705"/>
        <v>3414.2</v>
      </c>
      <c r="M253" s="278">
        <f t="shared" si="706"/>
        <v>3414.2</v>
      </c>
      <c r="N253" s="607">
        <f t="shared" si="707"/>
        <v>3384.2</v>
      </c>
      <c r="O253" s="278">
        <f t="shared" si="708"/>
        <v>3384.2</v>
      </c>
      <c r="P253" s="607">
        <f t="shared" si="709"/>
        <v>3354.2</v>
      </c>
      <c r="Q253" s="278">
        <f t="shared" si="710"/>
        <v>3354.2</v>
      </c>
      <c r="R253" s="607">
        <f t="shared" si="711"/>
        <v>3334.2</v>
      </c>
      <c r="S253" s="278">
        <f t="shared" si="712"/>
        <v>3334.2</v>
      </c>
      <c r="T253" s="100">
        <f t="shared" si="713"/>
        <v>3314.2</v>
      </c>
      <c r="U253" s="251">
        <f t="shared" si="714"/>
        <v>3314.2</v>
      </c>
      <c r="V253" s="100">
        <f t="shared" si="715"/>
        <v>3294.2</v>
      </c>
      <c r="W253" s="251">
        <f t="shared" si="716"/>
        <v>3294.2</v>
      </c>
      <c r="X253" s="671"/>
      <c r="Y253" s="652"/>
      <c r="Z253" s="652"/>
      <c r="AA253" s="653"/>
      <c r="AB253" s="189">
        <v>827</v>
      </c>
    </row>
    <row r="254" spans="1:28" ht="12.6" customHeight="1" x14ac:dyDescent="0.2">
      <c r="A254" s="18"/>
      <c r="B254" s="751" t="s">
        <v>676</v>
      </c>
      <c r="C254" s="752"/>
      <c r="D254" s="752"/>
      <c r="E254" s="752"/>
      <c r="F254" s="515">
        <f>8.2*X2</f>
        <v>9003.5999999999985</v>
      </c>
      <c r="G254" s="511">
        <f>+F254*$X$1</f>
        <v>9003.5999999999985</v>
      </c>
      <c r="H254" s="637">
        <f t="shared" si="701"/>
        <v>9603.5999999999985</v>
      </c>
      <c r="I254" s="511">
        <f t="shared" si="702"/>
        <v>9603.5999999999985</v>
      </c>
      <c r="J254" s="637">
        <f t="shared" si="703"/>
        <v>9263.5999999999985</v>
      </c>
      <c r="K254" s="511">
        <f t="shared" si="704"/>
        <v>9263.5999999999985</v>
      </c>
      <c r="L254" s="637">
        <f t="shared" si="705"/>
        <v>9233.5999999999985</v>
      </c>
      <c r="M254" s="511">
        <f t="shared" si="706"/>
        <v>9233.5999999999985</v>
      </c>
      <c r="N254" s="637">
        <f t="shared" si="707"/>
        <v>9203.5999999999985</v>
      </c>
      <c r="O254" s="511">
        <f t="shared" si="708"/>
        <v>9203.5999999999985</v>
      </c>
      <c r="P254" s="637">
        <f t="shared" si="709"/>
        <v>9173.5999999999985</v>
      </c>
      <c r="Q254" s="511">
        <f t="shared" si="710"/>
        <v>9173.5999999999985</v>
      </c>
      <c r="R254" s="637">
        <f t="shared" si="711"/>
        <v>9153.5999999999985</v>
      </c>
      <c r="S254" s="511">
        <f t="shared" si="712"/>
        <v>9153.5999999999985</v>
      </c>
      <c r="T254" s="628">
        <f t="shared" si="713"/>
        <v>9133.5999999999985</v>
      </c>
      <c r="U254" s="627">
        <f t="shared" si="714"/>
        <v>9133.5999999999985</v>
      </c>
      <c r="V254" s="628">
        <f t="shared" si="715"/>
        <v>9113.5999999999985</v>
      </c>
      <c r="W254" s="627">
        <f t="shared" si="716"/>
        <v>9113.5999999999985</v>
      </c>
      <c r="X254" s="671"/>
      <c r="Y254" s="652"/>
      <c r="Z254" s="652"/>
      <c r="AA254" s="653"/>
      <c r="AB254" s="189">
        <v>828</v>
      </c>
    </row>
    <row r="255" spans="1:28" ht="12.6" customHeight="1" x14ac:dyDescent="0.2">
      <c r="A255" s="18"/>
      <c r="B255" s="690" t="s">
        <v>601</v>
      </c>
      <c r="C255" s="691"/>
      <c r="D255" s="691"/>
      <c r="E255" s="691"/>
      <c r="F255" s="364">
        <f>3.612*X2</f>
        <v>3965.9760000000001</v>
      </c>
      <c r="G255" s="278">
        <f>+F255*$X$1</f>
        <v>3965.9760000000001</v>
      </c>
      <c r="H255" s="607">
        <f t="shared" si="701"/>
        <v>4565.9760000000006</v>
      </c>
      <c r="I255" s="278">
        <f t="shared" si="702"/>
        <v>4565.9760000000006</v>
      </c>
      <c r="J255" s="607">
        <f t="shared" si="703"/>
        <v>4225.9760000000006</v>
      </c>
      <c r="K255" s="278">
        <f t="shared" si="704"/>
        <v>4225.9760000000006</v>
      </c>
      <c r="L255" s="607">
        <f t="shared" si="705"/>
        <v>4195.9760000000006</v>
      </c>
      <c r="M255" s="278">
        <f t="shared" si="706"/>
        <v>4195.9760000000006</v>
      </c>
      <c r="N255" s="607">
        <f t="shared" si="707"/>
        <v>4165.9760000000006</v>
      </c>
      <c r="O255" s="278">
        <f t="shared" si="708"/>
        <v>4165.9760000000006</v>
      </c>
      <c r="P255" s="607">
        <f t="shared" si="709"/>
        <v>4135.9760000000006</v>
      </c>
      <c r="Q255" s="278">
        <f t="shared" si="710"/>
        <v>4135.9760000000006</v>
      </c>
      <c r="R255" s="607">
        <f t="shared" si="711"/>
        <v>4115.9760000000006</v>
      </c>
      <c r="S255" s="278">
        <f t="shared" si="712"/>
        <v>4115.9760000000006</v>
      </c>
      <c r="T255" s="100">
        <f t="shared" si="713"/>
        <v>4095.9760000000001</v>
      </c>
      <c r="U255" s="251">
        <f t="shared" si="714"/>
        <v>4095.9760000000001</v>
      </c>
      <c r="V255" s="100">
        <f t="shared" si="715"/>
        <v>4075.9760000000001</v>
      </c>
      <c r="W255" s="251">
        <f t="shared" si="716"/>
        <v>4075.9760000000001</v>
      </c>
      <c r="X255" s="671"/>
      <c r="Y255" s="652"/>
      <c r="Z255" s="652"/>
      <c r="AA255" s="653"/>
      <c r="AB255" s="189">
        <v>829</v>
      </c>
    </row>
    <row r="256" spans="1:28" ht="12.6" customHeight="1" x14ac:dyDescent="0.2">
      <c r="A256" s="18"/>
      <c r="B256" s="672" t="s">
        <v>821</v>
      </c>
      <c r="C256" s="673"/>
      <c r="D256" s="673"/>
      <c r="E256" s="673"/>
      <c r="F256" s="365">
        <f>7.75*X2</f>
        <v>8509.5</v>
      </c>
      <c r="G256" s="279">
        <f>+F256*$X$1</f>
        <v>8509.5</v>
      </c>
      <c r="H256" s="440">
        <f t="shared" si="701"/>
        <v>9109.5</v>
      </c>
      <c r="I256" s="279">
        <f t="shared" si="702"/>
        <v>9109.5</v>
      </c>
      <c r="J256" s="440">
        <f t="shared" si="703"/>
        <v>8769.5</v>
      </c>
      <c r="K256" s="279">
        <f t="shared" si="704"/>
        <v>8769.5</v>
      </c>
      <c r="L256" s="440">
        <f t="shared" si="705"/>
        <v>8739.5</v>
      </c>
      <c r="M256" s="279">
        <f t="shared" si="706"/>
        <v>8739.5</v>
      </c>
      <c r="N256" s="440">
        <f t="shared" si="707"/>
        <v>8709.5</v>
      </c>
      <c r="O256" s="279">
        <f t="shared" si="708"/>
        <v>8709.5</v>
      </c>
      <c r="P256" s="440">
        <f t="shared" si="709"/>
        <v>8679.5</v>
      </c>
      <c r="Q256" s="279">
        <f t="shared" si="710"/>
        <v>8679.5</v>
      </c>
      <c r="R256" s="440">
        <f t="shared" si="711"/>
        <v>8659.5</v>
      </c>
      <c r="S256" s="279">
        <f t="shared" si="712"/>
        <v>8659.5</v>
      </c>
      <c r="T256" s="99">
        <f t="shared" si="713"/>
        <v>8639.5</v>
      </c>
      <c r="U256" s="294">
        <f t="shared" si="714"/>
        <v>8639.5</v>
      </c>
      <c r="V256" s="99">
        <f t="shared" si="715"/>
        <v>8619.5</v>
      </c>
      <c r="W256" s="294">
        <f t="shared" si="716"/>
        <v>8619.5</v>
      </c>
      <c r="X256" s="671"/>
      <c r="Y256" s="652"/>
      <c r="Z256" s="652"/>
      <c r="AA256" s="653"/>
      <c r="AB256" s="189">
        <v>831</v>
      </c>
    </row>
    <row r="257" spans="1:28" ht="12.6" customHeight="1" x14ac:dyDescent="0.2">
      <c r="A257" s="18"/>
      <c r="B257" s="655" t="s">
        <v>983</v>
      </c>
      <c r="C257" s="656"/>
      <c r="D257" s="656"/>
      <c r="E257" s="656"/>
      <c r="F257" s="364">
        <f>2.81*X2</f>
        <v>3085.38</v>
      </c>
      <c r="G257" s="278">
        <f t="shared" ref="G257" si="720">+F257*$X$1</f>
        <v>3085.38</v>
      </c>
      <c r="H257" s="607">
        <f t="shared" si="701"/>
        <v>3685.38</v>
      </c>
      <c r="I257" s="278">
        <f t="shared" si="702"/>
        <v>3685.38</v>
      </c>
      <c r="J257" s="607">
        <f t="shared" si="703"/>
        <v>3345.38</v>
      </c>
      <c r="K257" s="278">
        <f t="shared" si="704"/>
        <v>3345.38</v>
      </c>
      <c r="L257" s="607">
        <f t="shared" si="705"/>
        <v>3315.38</v>
      </c>
      <c r="M257" s="278">
        <f t="shared" si="706"/>
        <v>3315.38</v>
      </c>
      <c r="N257" s="607">
        <f t="shared" si="707"/>
        <v>3285.38</v>
      </c>
      <c r="O257" s="278">
        <f t="shared" si="708"/>
        <v>3285.38</v>
      </c>
      <c r="P257" s="607">
        <f t="shared" si="709"/>
        <v>3255.38</v>
      </c>
      <c r="Q257" s="278">
        <f t="shared" si="710"/>
        <v>3255.38</v>
      </c>
      <c r="R257" s="607">
        <f t="shared" si="711"/>
        <v>3235.38</v>
      </c>
      <c r="S257" s="278">
        <f t="shared" si="712"/>
        <v>3235.38</v>
      </c>
      <c r="T257" s="100">
        <f t="shared" si="713"/>
        <v>3215.38</v>
      </c>
      <c r="U257" s="251">
        <f t="shared" si="714"/>
        <v>3215.38</v>
      </c>
      <c r="V257" s="100">
        <f t="shared" si="715"/>
        <v>3195.38</v>
      </c>
      <c r="W257" s="251">
        <f t="shared" si="716"/>
        <v>3195.38</v>
      </c>
      <c r="X257" s="671"/>
      <c r="Y257" s="652"/>
      <c r="Z257" s="652"/>
      <c r="AA257" s="653"/>
      <c r="AB257" s="189">
        <v>832</v>
      </c>
    </row>
    <row r="258" spans="1:28" ht="12.6" customHeight="1" x14ac:dyDescent="0.2">
      <c r="A258" s="18"/>
      <c r="B258" s="672" t="s">
        <v>548</v>
      </c>
      <c r="C258" s="673"/>
      <c r="D258" s="673"/>
      <c r="E258" s="673"/>
      <c r="F258" s="365">
        <f>11.8*X2</f>
        <v>12956.400000000001</v>
      </c>
      <c r="G258" s="279">
        <f t="shared" ref="G258" si="721">+F258*$X$1</f>
        <v>12956.400000000001</v>
      </c>
      <c r="H258" s="440">
        <f t="shared" si="701"/>
        <v>13556.400000000001</v>
      </c>
      <c r="I258" s="279">
        <f t="shared" si="702"/>
        <v>13556.400000000001</v>
      </c>
      <c r="J258" s="440">
        <f t="shared" si="703"/>
        <v>13216.400000000001</v>
      </c>
      <c r="K258" s="279">
        <f t="shared" si="704"/>
        <v>13216.400000000001</v>
      </c>
      <c r="L258" s="440">
        <f t="shared" si="705"/>
        <v>13186.400000000001</v>
      </c>
      <c r="M258" s="279">
        <f t="shared" si="706"/>
        <v>13186.400000000001</v>
      </c>
      <c r="N258" s="440">
        <f t="shared" si="707"/>
        <v>13156.400000000001</v>
      </c>
      <c r="O258" s="279">
        <f t="shared" si="708"/>
        <v>13156.400000000001</v>
      </c>
      <c r="P258" s="440">
        <f t="shared" si="709"/>
        <v>13126.400000000001</v>
      </c>
      <c r="Q258" s="279">
        <f t="shared" si="710"/>
        <v>13126.400000000001</v>
      </c>
      <c r="R258" s="440">
        <f t="shared" si="711"/>
        <v>13106.400000000001</v>
      </c>
      <c r="S258" s="279">
        <f t="shared" si="712"/>
        <v>13106.400000000001</v>
      </c>
      <c r="T258" s="99">
        <f t="shared" si="713"/>
        <v>13086.400000000001</v>
      </c>
      <c r="U258" s="294">
        <f t="shared" si="714"/>
        <v>13086.400000000001</v>
      </c>
      <c r="V258" s="99">
        <f t="shared" si="715"/>
        <v>13066.400000000001</v>
      </c>
      <c r="W258" s="294">
        <f t="shared" si="716"/>
        <v>13066.400000000001</v>
      </c>
      <c r="X258" s="671"/>
      <c r="Y258" s="652"/>
      <c r="Z258" s="652"/>
      <c r="AA258" s="653"/>
      <c r="AB258" s="189">
        <v>833</v>
      </c>
    </row>
    <row r="259" spans="1:28" ht="12.6" customHeight="1" x14ac:dyDescent="0.2">
      <c r="A259" s="18"/>
      <c r="B259" s="690" t="s">
        <v>597</v>
      </c>
      <c r="C259" s="691"/>
      <c r="D259" s="691"/>
      <c r="E259" s="691"/>
      <c r="F259" s="364">
        <f>7.35*X2</f>
        <v>8070.2999999999993</v>
      </c>
      <c r="G259" s="278">
        <f t="shared" ref="G259" si="722">+F259*$X$1</f>
        <v>8070.2999999999993</v>
      </c>
      <c r="H259" s="607">
        <f t="shared" si="701"/>
        <v>8670.2999999999993</v>
      </c>
      <c r="I259" s="278">
        <f t="shared" si="702"/>
        <v>8670.2999999999993</v>
      </c>
      <c r="J259" s="607">
        <f t="shared" si="703"/>
        <v>8330.2999999999993</v>
      </c>
      <c r="K259" s="278">
        <f t="shared" si="704"/>
        <v>8330.2999999999993</v>
      </c>
      <c r="L259" s="607">
        <f t="shared" si="705"/>
        <v>8300.2999999999993</v>
      </c>
      <c r="M259" s="278">
        <f t="shared" si="706"/>
        <v>8300.2999999999993</v>
      </c>
      <c r="N259" s="607">
        <f t="shared" si="707"/>
        <v>8270.2999999999993</v>
      </c>
      <c r="O259" s="278">
        <f t="shared" si="708"/>
        <v>8270.2999999999993</v>
      </c>
      <c r="P259" s="607">
        <f t="shared" si="709"/>
        <v>8240.2999999999993</v>
      </c>
      <c r="Q259" s="278">
        <f t="shared" si="710"/>
        <v>8240.2999999999993</v>
      </c>
      <c r="R259" s="607">
        <f t="shared" si="711"/>
        <v>8220.2999999999993</v>
      </c>
      <c r="S259" s="278">
        <f t="shared" si="712"/>
        <v>8220.2999999999993</v>
      </c>
      <c r="T259" s="100">
        <f t="shared" si="713"/>
        <v>8200.2999999999993</v>
      </c>
      <c r="U259" s="251">
        <f t="shared" si="714"/>
        <v>8200.2999999999993</v>
      </c>
      <c r="V259" s="100">
        <f t="shared" si="715"/>
        <v>8180.2999999999993</v>
      </c>
      <c r="W259" s="251">
        <f t="shared" si="716"/>
        <v>8180.2999999999993</v>
      </c>
      <c r="X259" s="671"/>
      <c r="Y259" s="652"/>
      <c r="Z259" s="652"/>
      <c r="AA259" s="653"/>
      <c r="AB259" s="189">
        <v>834</v>
      </c>
    </row>
    <row r="260" spans="1:28" ht="12.6" customHeight="1" x14ac:dyDescent="0.2">
      <c r="A260" s="18"/>
      <c r="B260" s="672" t="s">
        <v>599</v>
      </c>
      <c r="C260" s="673"/>
      <c r="D260" s="673"/>
      <c r="E260" s="673"/>
      <c r="F260" s="365">
        <f>7.2*X2</f>
        <v>7905.6</v>
      </c>
      <c r="G260" s="279">
        <f>+F260*$X$1</f>
        <v>7905.6</v>
      </c>
      <c r="H260" s="440">
        <f t="shared" si="701"/>
        <v>8505.6</v>
      </c>
      <c r="I260" s="279">
        <f t="shared" si="702"/>
        <v>8505.6</v>
      </c>
      <c r="J260" s="440">
        <f t="shared" si="703"/>
        <v>8165.6</v>
      </c>
      <c r="K260" s="279">
        <f t="shared" si="704"/>
        <v>8165.6</v>
      </c>
      <c r="L260" s="440">
        <f t="shared" si="705"/>
        <v>8135.6</v>
      </c>
      <c r="M260" s="279">
        <f t="shared" si="706"/>
        <v>8135.6</v>
      </c>
      <c r="N260" s="440">
        <f t="shared" si="707"/>
        <v>8105.6</v>
      </c>
      <c r="O260" s="279">
        <f t="shared" si="708"/>
        <v>8105.6</v>
      </c>
      <c r="P260" s="440">
        <f t="shared" si="709"/>
        <v>8075.6</v>
      </c>
      <c r="Q260" s="279">
        <f t="shared" si="710"/>
        <v>8075.6</v>
      </c>
      <c r="R260" s="440">
        <f t="shared" si="711"/>
        <v>8055.6</v>
      </c>
      <c r="S260" s="279">
        <f t="shared" si="712"/>
        <v>8055.6</v>
      </c>
      <c r="T260" s="99">
        <f t="shared" si="713"/>
        <v>8035.6</v>
      </c>
      <c r="U260" s="294">
        <f t="shared" si="714"/>
        <v>8035.6</v>
      </c>
      <c r="V260" s="99">
        <f t="shared" si="715"/>
        <v>8015.6</v>
      </c>
      <c r="W260" s="294">
        <f t="shared" si="716"/>
        <v>8015.6</v>
      </c>
      <c r="X260" s="671"/>
      <c r="Y260" s="652"/>
      <c r="Z260" s="652"/>
      <c r="AA260" s="653"/>
      <c r="AB260" s="189">
        <v>836</v>
      </c>
    </row>
    <row r="261" spans="1:28" ht="12.6" customHeight="1" x14ac:dyDescent="0.2">
      <c r="A261" s="18"/>
      <c r="B261" s="728" t="s">
        <v>845</v>
      </c>
      <c r="C261" s="691"/>
      <c r="D261" s="691"/>
      <c r="E261" s="691"/>
      <c r="F261" s="364">
        <f>4.8*X2</f>
        <v>5270.4</v>
      </c>
      <c r="G261" s="278">
        <f t="shared" ref="G261" si="723">+F261*$X$1</f>
        <v>5270.4</v>
      </c>
      <c r="H261" s="607">
        <f t="shared" si="701"/>
        <v>5870.4</v>
      </c>
      <c r="I261" s="278">
        <f t="shared" si="702"/>
        <v>5870.4</v>
      </c>
      <c r="J261" s="607">
        <f t="shared" si="703"/>
        <v>5530.4</v>
      </c>
      <c r="K261" s="278">
        <f t="shared" si="704"/>
        <v>5530.4</v>
      </c>
      <c r="L261" s="607">
        <f t="shared" si="705"/>
        <v>5500.4</v>
      </c>
      <c r="M261" s="278">
        <f t="shared" si="706"/>
        <v>5500.4</v>
      </c>
      <c r="N261" s="607">
        <f t="shared" si="707"/>
        <v>5470.4</v>
      </c>
      <c r="O261" s="278">
        <f t="shared" si="708"/>
        <v>5470.4</v>
      </c>
      <c r="P261" s="607">
        <f t="shared" si="709"/>
        <v>5440.4</v>
      </c>
      <c r="Q261" s="278">
        <f t="shared" si="710"/>
        <v>5440.4</v>
      </c>
      <c r="R261" s="607">
        <f t="shared" si="711"/>
        <v>5420.4</v>
      </c>
      <c r="S261" s="278">
        <f t="shared" si="712"/>
        <v>5420.4</v>
      </c>
      <c r="T261" s="100">
        <f t="shared" si="713"/>
        <v>5400.4</v>
      </c>
      <c r="U261" s="251">
        <f t="shared" si="714"/>
        <v>5400.4</v>
      </c>
      <c r="V261" s="100">
        <f t="shared" si="715"/>
        <v>5380.4</v>
      </c>
      <c r="W261" s="251">
        <f t="shared" si="716"/>
        <v>5380.4</v>
      </c>
      <c r="X261" s="671"/>
      <c r="Y261" s="652"/>
      <c r="Z261" s="652"/>
      <c r="AA261" s="653"/>
      <c r="AB261" s="189">
        <v>837</v>
      </c>
    </row>
    <row r="262" spans="1:28" ht="12.6" customHeight="1" x14ac:dyDescent="0.2">
      <c r="A262" s="18"/>
      <c r="B262" s="692" t="s">
        <v>961</v>
      </c>
      <c r="C262" s="656"/>
      <c r="D262" s="656"/>
      <c r="E262" s="656"/>
      <c r="F262" s="365">
        <f>7.98*X2</f>
        <v>8762.0400000000009</v>
      </c>
      <c r="G262" s="279">
        <f t="shared" ref="G262" si="724">+F262*$X$1</f>
        <v>8762.0400000000009</v>
      </c>
      <c r="H262" s="440">
        <f t="shared" si="701"/>
        <v>9362.0400000000009</v>
      </c>
      <c r="I262" s="279">
        <f t="shared" si="702"/>
        <v>9362.0400000000009</v>
      </c>
      <c r="J262" s="440">
        <f t="shared" si="703"/>
        <v>9022.0400000000009</v>
      </c>
      <c r="K262" s="279">
        <f t="shared" si="704"/>
        <v>9022.0400000000009</v>
      </c>
      <c r="L262" s="440">
        <f t="shared" si="705"/>
        <v>8992.0400000000009</v>
      </c>
      <c r="M262" s="279">
        <f t="shared" si="706"/>
        <v>8992.0400000000009</v>
      </c>
      <c r="N262" s="440">
        <f t="shared" si="707"/>
        <v>8962.0400000000009</v>
      </c>
      <c r="O262" s="279">
        <f t="shared" si="708"/>
        <v>8962.0400000000009</v>
      </c>
      <c r="P262" s="440">
        <f t="shared" si="709"/>
        <v>8932.0400000000009</v>
      </c>
      <c r="Q262" s="279">
        <f t="shared" si="710"/>
        <v>8932.0400000000009</v>
      </c>
      <c r="R262" s="440">
        <f t="shared" si="711"/>
        <v>8912.0400000000009</v>
      </c>
      <c r="S262" s="279">
        <f t="shared" si="712"/>
        <v>8912.0400000000009</v>
      </c>
      <c r="T262" s="99">
        <f t="shared" si="713"/>
        <v>8892.0400000000009</v>
      </c>
      <c r="U262" s="294">
        <f t="shared" si="714"/>
        <v>8892.0400000000009</v>
      </c>
      <c r="V262" s="99">
        <f t="shared" si="715"/>
        <v>8872.0400000000009</v>
      </c>
      <c r="W262" s="294">
        <f t="shared" si="716"/>
        <v>8872.0400000000009</v>
      </c>
      <c r="X262" s="671"/>
      <c r="Y262" s="652"/>
      <c r="Z262" s="652"/>
      <c r="AA262" s="653"/>
      <c r="AB262" s="189">
        <v>838</v>
      </c>
    </row>
    <row r="263" spans="1:28" ht="12.6" customHeight="1" x14ac:dyDescent="0.2">
      <c r="A263" s="18"/>
      <c r="B263" s="692" t="s">
        <v>958</v>
      </c>
      <c r="C263" s="656"/>
      <c r="D263" s="656"/>
      <c r="E263" s="656"/>
      <c r="F263" s="364">
        <f>2.55*X2</f>
        <v>2799.8999999999996</v>
      </c>
      <c r="G263" s="278">
        <f t="shared" ref="G263" si="725">+F263*$X$1</f>
        <v>2799.8999999999996</v>
      </c>
      <c r="H263" s="607">
        <f t="shared" si="701"/>
        <v>3399.8999999999996</v>
      </c>
      <c r="I263" s="278">
        <f t="shared" si="702"/>
        <v>3399.8999999999996</v>
      </c>
      <c r="J263" s="607">
        <f t="shared" si="703"/>
        <v>3059.8999999999996</v>
      </c>
      <c r="K263" s="278">
        <f t="shared" si="704"/>
        <v>3059.8999999999996</v>
      </c>
      <c r="L263" s="607">
        <f t="shared" si="705"/>
        <v>3029.8999999999996</v>
      </c>
      <c r="M263" s="278">
        <f t="shared" si="706"/>
        <v>3029.8999999999996</v>
      </c>
      <c r="N263" s="607">
        <f t="shared" si="707"/>
        <v>2999.8999999999996</v>
      </c>
      <c r="O263" s="278">
        <f t="shared" si="708"/>
        <v>2999.8999999999996</v>
      </c>
      <c r="P263" s="607">
        <f t="shared" si="709"/>
        <v>2969.8999999999996</v>
      </c>
      <c r="Q263" s="278">
        <f t="shared" si="710"/>
        <v>2969.8999999999996</v>
      </c>
      <c r="R263" s="607">
        <f t="shared" si="711"/>
        <v>2949.8999999999996</v>
      </c>
      <c r="S263" s="278">
        <f t="shared" si="712"/>
        <v>2949.8999999999996</v>
      </c>
      <c r="T263" s="100">
        <f t="shared" si="713"/>
        <v>2929.8999999999996</v>
      </c>
      <c r="U263" s="251">
        <f t="shared" si="714"/>
        <v>2929.8999999999996</v>
      </c>
      <c r="V263" s="100">
        <f t="shared" si="715"/>
        <v>2909.8999999999996</v>
      </c>
      <c r="W263" s="251">
        <f t="shared" si="716"/>
        <v>2909.8999999999996</v>
      </c>
      <c r="X263" s="671"/>
      <c r="Y263" s="652"/>
      <c r="Z263" s="652"/>
      <c r="AA263" s="653"/>
      <c r="AB263" s="189">
        <v>839</v>
      </c>
    </row>
    <row r="264" spans="1:28" ht="12.6" customHeight="1" x14ac:dyDescent="0.2">
      <c r="A264" s="18"/>
      <c r="B264" s="692" t="s">
        <v>959</v>
      </c>
      <c r="C264" s="656"/>
      <c r="D264" s="656"/>
      <c r="E264" s="656"/>
      <c r="F264" s="365">
        <f>2.36*X2</f>
        <v>2591.2799999999997</v>
      </c>
      <c r="G264" s="279">
        <f t="shared" ref="G264" si="726">+F264*$X$1</f>
        <v>2591.2799999999997</v>
      </c>
      <c r="H264" s="440">
        <f t="shared" si="701"/>
        <v>3191.2799999999997</v>
      </c>
      <c r="I264" s="279">
        <f t="shared" si="702"/>
        <v>3191.2799999999997</v>
      </c>
      <c r="J264" s="440">
        <f t="shared" si="703"/>
        <v>2851.2799999999997</v>
      </c>
      <c r="K264" s="279">
        <f t="shared" si="704"/>
        <v>2851.2799999999997</v>
      </c>
      <c r="L264" s="440">
        <f t="shared" si="705"/>
        <v>2821.2799999999997</v>
      </c>
      <c r="M264" s="279">
        <f t="shared" si="706"/>
        <v>2821.2799999999997</v>
      </c>
      <c r="N264" s="440">
        <f t="shared" si="707"/>
        <v>2791.2799999999997</v>
      </c>
      <c r="O264" s="279">
        <f t="shared" si="708"/>
        <v>2791.2799999999997</v>
      </c>
      <c r="P264" s="440">
        <f t="shared" si="709"/>
        <v>2761.2799999999997</v>
      </c>
      <c r="Q264" s="279">
        <f t="shared" si="710"/>
        <v>2761.2799999999997</v>
      </c>
      <c r="R264" s="440">
        <f t="shared" si="711"/>
        <v>2741.2799999999997</v>
      </c>
      <c r="S264" s="279">
        <f t="shared" si="712"/>
        <v>2741.2799999999997</v>
      </c>
      <c r="T264" s="99">
        <f t="shared" si="713"/>
        <v>2721.2799999999997</v>
      </c>
      <c r="U264" s="294">
        <f t="shared" si="714"/>
        <v>2721.2799999999997</v>
      </c>
      <c r="V264" s="99">
        <f t="shared" si="715"/>
        <v>2701.2799999999997</v>
      </c>
      <c r="W264" s="294">
        <f t="shared" si="716"/>
        <v>2701.2799999999997</v>
      </c>
      <c r="X264" s="671"/>
      <c r="Y264" s="652"/>
      <c r="Z264" s="652"/>
      <c r="AA264" s="653"/>
      <c r="AB264" s="189">
        <v>840</v>
      </c>
    </row>
    <row r="265" spans="1:28" ht="12.6" customHeight="1" x14ac:dyDescent="0.2">
      <c r="A265" s="18"/>
      <c r="B265" s="753" t="s">
        <v>476</v>
      </c>
      <c r="C265" s="754"/>
      <c r="D265" s="754"/>
      <c r="E265" s="754"/>
      <c r="F265" s="521">
        <f>5.9*X2</f>
        <v>6478.2000000000007</v>
      </c>
      <c r="G265" s="510">
        <f>+F265*$X$1</f>
        <v>6478.2000000000007</v>
      </c>
      <c r="H265" s="616">
        <f t="shared" si="701"/>
        <v>7078.2000000000007</v>
      </c>
      <c r="I265" s="511">
        <f t="shared" si="702"/>
        <v>7078.2000000000007</v>
      </c>
      <c r="J265" s="616">
        <f t="shared" si="703"/>
        <v>6738.2000000000007</v>
      </c>
      <c r="K265" s="511">
        <f t="shared" si="704"/>
        <v>6738.2000000000007</v>
      </c>
      <c r="L265" s="616">
        <f t="shared" si="705"/>
        <v>6708.2000000000007</v>
      </c>
      <c r="M265" s="511">
        <f t="shared" si="706"/>
        <v>6708.2000000000007</v>
      </c>
      <c r="N265" s="616">
        <f t="shared" si="707"/>
        <v>6678.2000000000007</v>
      </c>
      <c r="O265" s="511">
        <f t="shared" si="708"/>
        <v>6678.2000000000007</v>
      </c>
      <c r="P265" s="616">
        <f t="shared" si="709"/>
        <v>6648.2000000000007</v>
      </c>
      <c r="Q265" s="511">
        <f t="shared" si="710"/>
        <v>6648.2000000000007</v>
      </c>
      <c r="R265" s="616">
        <f t="shared" si="711"/>
        <v>6628.2000000000007</v>
      </c>
      <c r="S265" s="511">
        <f t="shared" si="712"/>
        <v>6628.2000000000007</v>
      </c>
      <c r="T265" s="628">
        <f t="shared" si="713"/>
        <v>6608.2000000000007</v>
      </c>
      <c r="U265" s="627">
        <f t="shared" si="714"/>
        <v>6608.2000000000007</v>
      </c>
      <c r="V265" s="628">
        <f t="shared" si="715"/>
        <v>6588.2000000000007</v>
      </c>
      <c r="W265" s="627">
        <f t="shared" si="716"/>
        <v>6588.2000000000007</v>
      </c>
      <c r="X265" s="671"/>
      <c r="Y265" s="652"/>
      <c r="Z265" s="652"/>
      <c r="AA265" s="653"/>
      <c r="AB265" s="386">
        <v>916</v>
      </c>
    </row>
    <row r="266" spans="1:28" ht="12.6" customHeight="1" x14ac:dyDescent="0.2">
      <c r="A266" s="18"/>
      <c r="B266" s="672" t="s">
        <v>775</v>
      </c>
      <c r="C266" s="673"/>
      <c r="D266" s="673"/>
      <c r="E266" s="673"/>
      <c r="F266" s="365">
        <f>6.41*X2</f>
        <v>7038.18</v>
      </c>
      <c r="G266" s="279">
        <f>+F266*$X$1</f>
        <v>7038.18</v>
      </c>
      <c r="H266" s="440">
        <f t="shared" si="701"/>
        <v>7638.18</v>
      </c>
      <c r="I266" s="279">
        <f t="shared" si="702"/>
        <v>7638.18</v>
      </c>
      <c r="J266" s="440">
        <f t="shared" si="703"/>
        <v>7298.18</v>
      </c>
      <c r="K266" s="279">
        <f t="shared" si="704"/>
        <v>7298.18</v>
      </c>
      <c r="L266" s="440">
        <f t="shared" si="705"/>
        <v>7268.18</v>
      </c>
      <c r="M266" s="279">
        <f t="shared" si="706"/>
        <v>7268.18</v>
      </c>
      <c r="N266" s="440">
        <f t="shared" si="707"/>
        <v>7238.18</v>
      </c>
      <c r="O266" s="279">
        <f t="shared" si="708"/>
        <v>7238.18</v>
      </c>
      <c r="P266" s="440">
        <f t="shared" si="709"/>
        <v>7208.18</v>
      </c>
      <c r="Q266" s="279">
        <f t="shared" si="710"/>
        <v>7208.18</v>
      </c>
      <c r="R266" s="440">
        <f t="shared" si="711"/>
        <v>7188.18</v>
      </c>
      <c r="S266" s="279">
        <f t="shared" si="712"/>
        <v>7188.18</v>
      </c>
      <c r="T266" s="99">
        <f t="shared" si="713"/>
        <v>7168.18</v>
      </c>
      <c r="U266" s="294">
        <f t="shared" si="714"/>
        <v>7168.18</v>
      </c>
      <c r="V266" s="99">
        <f t="shared" si="715"/>
        <v>7148.18</v>
      </c>
      <c r="W266" s="294">
        <f t="shared" si="716"/>
        <v>7148.18</v>
      </c>
      <c r="X266" s="671"/>
      <c r="Y266" s="652"/>
      <c r="Z266" s="652"/>
      <c r="AA266" s="653"/>
      <c r="AB266" s="189">
        <v>917</v>
      </c>
    </row>
    <row r="267" spans="1:28" ht="12.6" customHeight="1" x14ac:dyDescent="0.2">
      <c r="A267" s="18"/>
      <c r="B267" s="690" t="s">
        <v>196</v>
      </c>
      <c r="C267" s="691"/>
      <c r="D267" s="691"/>
      <c r="E267" s="691"/>
      <c r="F267" s="364">
        <f>9.93*X2</f>
        <v>10903.14</v>
      </c>
      <c r="G267" s="278">
        <f>+F267*$X$1</f>
        <v>10903.14</v>
      </c>
      <c r="H267" s="607">
        <f t="shared" si="701"/>
        <v>11503.14</v>
      </c>
      <c r="I267" s="278">
        <f t="shared" si="702"/>
        <v>11503.14</v>
      </c>
      <c r="J267" s="607">
        <f t="shared" si="703"/>
        <v>11163.14</v>
      </c>
      <c r="K267" s="278">
        <f t="shared" si="704"/>
        <v>11163.14</v>
      </c>
      <c r="L267" s="607">
        <f t="shared" si="705"/>
        <v>11133.14</v>
      </c>
      <c r="M267" s="278">
        <f t="shared" si="706"/>
        <v>11133.14</v>
      </c>
      <c r="N267" s="607">
        <f t="shared" si="707"/>
        <v>11103.14</v>
      </c>
      <c r="O267" s="278">
        <f t="shared" si="708"/>
        <v>11103.14</v>
      </c>
      <c r="P267" s="607">
        <f t="shared" si="709"/>
        <v>11073.14</v>
      </c>
      <c r="Q267" s="278">
        <f t="shared" si="710"/>
        <v>11073.14</v>
      </c>
      <c r="R267" s="607">
        <f t="shared" si="711"/>
        <v>11053.14</v>
      </c>
      <c r="S267" s="278">
        <f t="shared" si="712"/>
        <v>11053.14</v>
      </c>
      <c r="T267" s="100">
        <f t="shared" si="713"/>
        <v>11033.14</v>
      </c>
      <c r="U267" s="251">
        <f t="shared" si="714"/>
        <v>11033.14</v>
      </c>
      <c r="V267" s="100">
        <f t="shared" si="715"/>
        <v>11013.14</v>
      </c>
      <c r="W267" s="251">
        <f t="shared" si="716"/>
        <v>11013.14</v>
      </c>
      <c r="X267" s="774"/>
      <c r="Y267" s="775"/>
      <c r="Z267" s="775"/>
      <c r="AA267" s="776"/>
      <c r="AB267" s="397">
        <v>918</v>
      </c>
    </row>
    <row r="268" spans="1:28" ht="12.6" customHeight="1" x14ac:dyDescent="0.2">
      <c r="A268" s="18"/>
      <c r="B268" s="672" t="s">
        <v>424</v>
      </c>
      <c r="C268" s="673"/>
      <c r="D268" s="673"/>
      <c r="E268" s="673"/>
      <c r="F268" s="365">
        <f>8.9*X2</f>
        <v>9772.2000000000007</v>
      </c>
      <c r="G268" s="279">
        <f>+F268*$X$1</f>
        <v>9772.2000000000007</v>
      </c>
      <c r="H268" s="440">
        <f t="shared" si="701"/>
        <v>10372.200000000001</v>
      </c>
      <c r="I268" s="279">
        <f t="shared" si="702"/>
        <v>10372.200000000001</v>
      </c>
      <c r="J268" s="440">
        <f t="shared" si="703"/>
        <v>10032.200000000001</v>
      </c>
      <c r="K268" s="279">
        <f t="shared" si="704"/>
        <v>10032.200000000001</v>
      </c>
      <c r="L268" s="440">
        <f t="shared" si="705"/>
        <v>10002.200000000001</v>
      </c>
      <c r="M268" s="279">
        <f t="shared" si="706"/>
        <v>10002.200000000001</v>
      </c>
      <c r="N268" s="440">
        <f t="shared" si="707"/>
        <v>9972.2000000000007</v>
      </c>
      <c r="O268" s="279">
        <f t="shared" si="708"/>
        <v>9972.2000000000007</v>
      </c>
      <c r="P268" s="440">
        <f t="shared" si="709"/>
        <v>9942.2000000000007</v>
      </c>
      <c r="Q268" s="279">
        <f t="shared" si="710"/>
        <v>9942.2000000000007</v>
      </c>
      <c r="R268" s="440">
        <f t="shared" si="711"/>
        <v>9922.2000000000007</v>
      </c>
      <c r="S268" s="279">
        <f t="shared" si="712"/>
        <v>9922.2000000000007</v>
      </c>
      <c r="T268" s="99">
        <f t="shared" si="713"/>
        <v>9902.2000000000007</v>
      </c>
      <c r="U268" s="294">
        <f t="shared" si="714"/>
        <v>9902.2000000000007</v>
      </c>
      <c r="V268" s="99">
        <f t="shared" si="715"/>
        <v>9882.2000000000007</v>
      </c>
      <c r="W268" s="294">
        <f t="shared" si="716"/>
        <v>9882.2000000000007</v>
      </c>
      <c r="X268" s="671"/>
      <c r="Y268" s="732"/>
      <c r="Z268" s="732"/>
      <c r="AA268" s="653"/>
      <c r="AB268" s="189">
        <v>919</v>
      </c>
    </row>
    <row r="269" spans="1:28" ht="12.6" customHeight="1" x14ac:dyDescent="0.2">
      <c r="A269" s="18"/>
      <c r="B269" s="690" t="s">
        <v>795</v>
      </c>
      <c r="C269" s="691"/>
      <c r="D269" s="691"/>
      <c r="E269" s="691"/>
      <c r="F269" s="364">
        <f>7.5*X2</f>
        <v>8235</v>
      </c>
      <c r="G269" s="278">
        <f t="shared" ref="G269:G274" si="727">+F269*$X$1</f>
        <v>8235</v>
      </c>
      <c r="H269" s="607">
        <f t="shared" si="701"/>
        <v>8835</v>
      </c>
      <c r="I269" s="278">
        <f t="shared" si="702"/>
        <v>8835</v>
      </c>
      <c r="J269" s="607">
        <f t="shared" si="703"/>
        <v>8495</v>
      </c>
      <c r="K269" s="278">
        <f t="shared" si="704"/>
        <v>8495</v>
      </c>
      <c r="L269" s="607">
        <f t="shared" si="705"/>
        <v>8465</v>
      </c>
      <c r="M269" s="278">
        <f t="shared" si="706"/>
        <v>8465</v>
      </c>
      <c r="N269" s="607">
        <f t="shared" si="707"/>
        <v>8435</v>
      </c>
      <c r="O269" s="278">
        <f t="shared" si="708"/>
        <v>8435</v>
      </c>
      <c r="P269" s="607">
        <f t="shared" si="709"/>
        <v>8405</v>
      </c>
      <c r="Q269" s="278">
        <f t="shared" si="710"/>
        <v>8405</v>
      </c>
      <c r="R269" s="607">
        <f t="shared" si="711"/>
        <v>8385</v>
      </c>
      <c r="S269" s="278">
        <f t="shared" si="712"/>
        <v>8385</v>
      </c>
      <c r="T269" s="100">
        <f t="shared" si="713"/>
        <v>8365</v>
      </c>
      <c r="U269" s="251">
        <f t="shared" si="714"/>
        <v>8365</v>
      </c>
      <c r="V269" s="100">
        <f t="shared" si="715"/>
        <v>8345</v>
      </c>
      <c r="W269" s="251">
        <f t="shared" si="716"/>
        <v>8345</v>
      </c>
      <c r="X269" s="671"/>
      <c r="Y269" s="652"/>
      <c r="Z269" s="652"/>
      <c r="AA269" s="653"/>
      <c r="AB269" s="189">
        <v>920</v>
      </c>
    </row>
    <row r="270" spans="1:28" ht="12.6" customHeight="1" x14ac:dyDescent="0.2">
      <c r="A270" s="18"/>
      <c r="B270" s="672" t="s">
        <v>794</v>
      </c>
      <c r="C270" s="673"/>
      <c r="D270" s="673"/>
      <c r="E270" s="673"/>
      <c r="F270" s="365">
        <f>7.5*X2</f>
        <v>8235</v>
      </c>
      <c r="G270" s="279">
        <f t="shared" ref="G270" si="728">+F270*$X$1</f>
        <v>8235</v>
      </c>
      <c r="H270" s="440">
        <f t="shared" si="701"/>
        <v>8835</v>
      </c>
      <c r="I270" s="279">
        <f t="shared" si="702"/>
        <v>8835</v>
      </c>
      <c r="J270" s="440">
        <f t="shared" si="703"/>
        <v>8495</v>
      </c>
      <c r="K270" s="279">
        <f t="shared" si="704"/>
        <v>8495</v>
      </c>
      <c r="L270" s="440">
        <f t="shared" si="705"/>
        <v>8465</v>
      </c>
      <c r="M270" s="279">
        <f t="shared" si="706"/>
        <v>8465</v>
      </c>
      <c r="N270" s="440">
        <f t="shared" si="707"/>
        <v>8435</v>
      </c>
      <c r="O270" s="279">
        <f t="shared" si="708"/>
        <v>8435</v>
      </c>
      <c r="P270" s="440">
        <f t="shared" si="709"/>
        <v>8405</v>
      </c>
      <c r="Q270" s="279">
        <f t="shared" si="710"/>
        <v>8405</v>
      </c>
      <c r="R270" s="440">
        <f t="shared" si="711"/>
        <v>8385</v>
      </c>
      <c r="S270" s="279">
        <f t="shared" si="712"/>
        <v>8385</v>
      </c>
      <c r="T270" s="99">
        <f t="shared" si="713"/>
        <v>8365</v>
      </c>
      <c r="U270" s="294">
        <f t="shared" si="714"/>
        <v>8365</v>
      </c>
      <c r="V270" s="99">
        <f t="shared" si="715"/>
        <v>8345</v>
      </c>
      <c r="W270" s="294">
        <f t="shared" si="716"/>
        <v>8345</v>
      </c>
      <c r="X270" s="671"/>
      <c r="Y270" s="652"/>
      <c r="Z270" s="652"/>
      <c r="AA270" s="653"/>
      <c r="AB270" s="189" t="s">
        <v>796</v>
      </c>
    </row>
    <row r="271" spans="1:28" ht="12.6" customHeight="1" x14ac:dyDescent="0.2">
      <c r="A271" s="18"/>
      <c r="B271" s="690" t="s">
        <v>846</v>
      </c>
      <c r="C271" s="691"/>
      <c r="D271" s="691"/>
      <c r="E271" s="691"/>
      <c r="F271" s="364">
        <f>7.36*X2</f>
        <v>8081.2800000000007</v>
      </c>
      <c r="G271" s="278">
        <f t="shared" ref="G271:G273" si="729">+F271*$X$1</f>
        <v>8081.2800000000007</v>
      </c>
      <c r="H271" s="607">
        <f t="shared" si="701"/>
        <v>8681.2800000000007</v>
      </c>
      <c r="I271" s="278">
        <f t="shared" si="702"/>
        <v>8681.2800000000007</v>
      </c>
      <c r="J271" s="607">
        <f t="shared" si="703"/>
        <v>8341.2800000000007</v>
      </c>
      <c r="K271" s="278">
        <f t="shared" si="704"/>
        <v>8341.2800000000007</v>
      </c>
      <c r="L271" s="607">
        <f t="shared" si="705"/>
        <v>8311.2800000000007</v>
      </c>
      <c r="M271" s="278">
        <f t="shared" si="706"/>
        <v>8311.2800000000007</v>
      </c>
      <c r="N271" s="607">
        <f t="shared" si="707"/>
        <v>8281.2800000000007</v>
      </c>
      <c r="O271" s="278">
        <f t="shared" si="708"/>
        <v>8281.2800000000007</v>
      </c>
      <c r="P271" s="607">
        <f t="shared" si="709"/>
        <v>8251.2800000000007</v>
      </c>
      <c r="Q271" s="278">
        <f t="shared" si="710"/>
        <v>8251.2800000000007</v>
      </c>
      <c r="R271" s="607">
        <f t="shared" si="711"/>
        <v>8231.2800000000007</v>
      </c>
      <c r="S271" s="278">
        <f t="shared" si="712"/>
        <v>8231.2800000000007</v>
      </c>
      <c r="T271" s="100">
        <f t="shared" si="713"/>
        <v>8211.2800000000007</v>
      </c>
      <c r="U271" s="251">
        <f t="shared" si="714"/>
        <v>8211.2800000000007</v>
      </c>
      <c r="V271" s="100">
        <f t="shared" si="715"/>
        <v>8191.2800000000007</v>
      </c>
      <c r="W271" s="251">
        <f t="shared" si="716"/>
        <v>8191.2800000000007</v>
      </c>
      <c r="X271" s="671"/>
      <c r="Y271" s="652"/>
      <c r="Z271" s="652"/>
      <c r="AA271" s="653"/>
      <c r="AB271" s="189" t="s">
        <v>847</v>
      </c>
    </row>
    <row r="272" spans="1:28" ht="12.6" customHeight="1" x14ac:dyDescent="0.2">
      <c r="A272" s="18"/>
      <c r="B272" s="811" t="s">
        <v>933</v>
      </c>
      <c r="C272" s="752"/>
      <c r="D272" s="752"/>
      <c r="E272" s="752"/>
      <c r="F272" s="515">
        <f>4.7*X2</f>
        <v>5160.6000000000004</v>
      </c>
      <c r="G272" s="511">
        <f t="shared" ref="G272" si="730">+F272*$X$1</f>
        <v>5160.6000000000004</v>
      </c>
      <c r="H272" s="604">
        <f t="shared" si="701"/>
        <v>5760.6</v>
      </c>
      <c r="I272" s="511">
        <f t="shared" si="702"/>
        <v>5760.6</v>
      </c>
      <c r="J272" s="604">
        <f t="shared" si="703"/>
        <v>5420.6</v>
      </c>
      <c r="K272" s="511">
        <f t="shared" si="704"/>
        <v>5420.6</v>
      </c>
      <c r="L272" s="604">
        <f t="shared" si="705"/>
        <v>5390.6</v>
      </c>
      <c r="M272" s="511">
        <f t="shared" si="706"/>
        <v>5390.6</v>
      </c>
      <c r="N272" s="604">
        <f t="shared" si="707"/>
        <v>5360.6</v>
      </c>
      <c r="O272" s="511">
        <f t="shared" si="708"/>
        <v>5360.6</v>
      </c>
      <c r="P272" s="604">
        <f t="shared" si="709"/>
        <v>5330.6</v>
      </c>
      <c r="Q272" s="511">
        <f t="shared" si="710"/>
        <v>5330.6</v>
      </c>
      <c r="R272" s="604">
        <f t="shared" si="711"/>
        <v>5310.6</v>
      </c>
      <c r="S272" s="511">
        <f t="shared" si="712"/>
        <v>5310.6</v>
      </c>
      <c r="T272" s="628">
        <f t="shared" si="713"/>
        <v>5290.6</v>
      </c>
      <c r="U272" s="627">
        <f t="shared" si="714"/>
        <v>5290.6</v>
      </c>
      <c r="V272" s="628">
        <f t="shared" si="715"/>
        <v>5270.6</v>
      </c>
      <c r="W272" s="627">
        <f t="shared" si="716"/>
        <v>5270.6</v>
      </c>
      <c r="X272" s="671"/>
      <c r="Y272" s="652"/>
      <c r="Z272" s="652"/>
      <c r="AA272" s="653"/>
      <c r="AB272" s="189">
        <v>922</v>
      </c>
    </row>
    <row r="273" spans="1:38" ht="12.6" customHeight="1" x14ac:dyDescent="0.2">
      <c r="A273" s="18"/>
      <c r="B273" s="692" t="s">
        <v>892</v>
      </c>
      <c r="C273" s="656"/>
      <c r="D273" s="656"/>
      <c r="E273" s="656"/>
      <c r="F273" s="364">
        <f>6.39*X2</f>
        <v>7016.2199999999993</v>
      </c>
      <c r="G273" s="278">
        <f t="shared" si="729"/>
        <v>7016.2199999999993</v>
      </c>
      <c r="H273" s="607">
        <f t="shared" si="701"/>
        <v>7616.2199999999993</v>
      </c>
      <c r="I273" s="278">
        <f t="shared" si="702"/>
        <v>7616.2199999999993</v>
      </c>
      <c r="J273" s="607">
        <f t="shared" si="703"/>
        <v>7276.2199999999993</v>
      </c>
      <c r="K273" s="278">
        <f t="shared" si="704"/>
        <v>7276.2199999999993</v>
      </c>
      <c r="L273" s="607">
        <f t="shared" si="705"/>
        <v>7246.2199999999993</v>
      </c>
      <c r="M273" s="278">
        <f t="shared" si="706"/>
        <v>7246.2199999999993</v>
      </c>
      <c r="N273" s="607">
        <f t="shared" si="707"/>
        <v>7216.2199999999993</v>
      </c>
      <c r="O273" s="278">
        <f t="shared" si="708"/>
        <v>7216.2199999999993</v>
      </c>
      <c r="P273" s="607">
        <f t="shared" si="709"/>
        <v>7186.2199999999993</v>
      </c>
      <c r="Q273" s="278">
        <f t="shared" si="710"/>
        <v>7186.2199999999993</v>
      </c>
      <c r="R273" s="607">
        <f t="shared" si="711"/>
        <v>7166.2199999999993</v>
      </c>
      <c r="S273" s="278">
        <f t="shared" si="712"/>
        <v>7166.2199999999993</v>
      </c>
      <c r="T273" s="100">
        <f t="shared" si="713"/>
        <v>7146.2199999999993</v>
      </c>
      <c r="U273" s="251">
        <f t="shared" si="714"/>
        <v>7146.2199999999993</v>
      </c>
      <c r="V273" s="100">
        <f t="shared" si="715"/>
        <v>7126.2199999999993</v>
      </c>
      <c r="W273" s="251">
        <f t="shared" si="716"/>
        <v>7126.2199999999993</v>
      </c>
      <c r="X273" s="671"/>
      <c r="Y273" s="652"/>
      <c r="Z273" s="652"/>
      <c r="AA273" s="653"/>
      <c r="AB273" s="189">
        <v>923</v>
      </c>
    </row>
    <row r="274" spans="1:38" ht="12.6" customHeight="1" x14ac:dyDescent="0.2">
      <c r="A274" s="18"/>
      <c r="B274" s="672" t="s">
        <v>776</v>
      </c>
      <c r="C274" s="673"/>
      <c r="D274" s="673"/>
      <c r="E274" s="673"/>
      <c r="F274" s="365">
        <f>5.7*X2</f>
        <v>6258.6</v>
      </c>
      <c r="G274" s="279">
        <f t="shared" si="727"/>
        <v>6258.6</v>
      </c>
      <c r="H274" s="440">
        <f t="shared" si="701"/>
        <v>6858.6</v>
      </c>
      <c r="I274" s="279">
        <f t="shared" si="702"/>
        <v>6858.6</v>
      </c>
      <c r="J274" s="440">
        <f t="shared" si="703"/>
        <v>6518.6</v>
      </c>
      <c r="K274" s="279">
        <f t="shared" si="704"/>
        <v>6518.6</v>
      </c>
      <c r="L274" s="440">
        <f t="shared" si="705"/>
        <v>6488.6</v>
      </c>
      <c r="M274" s="279">
        <f t="shared" si="706"/>
        <v>6488.6</v>
      </c>
      <c r="N274" s="440">
        <f t="shared" si="707"/>
        <v>6458.6</v>
      </c>
      <c r="O274" s="279">
        <f t="shared" si="708"/>
        <v>6458.6</v>
      </c>
      <c r="P274" s="440">
        <f t="shared" si="709"/>
        <v>6428.6</v>
      </c>
      <c r="Q274" s="279">
        <f t="shared" si="710"/>
        <v>6428.6</v>
      </c>
      <c r="R274" s="440">
        <f t="shared" si="711"/>
        <v>6408.6</v>
      </c>
      <c r="S274" s="279">
        <f t="shared" si="712"/>
        <v>6408.6</v>
      </c>
      <c r="T274" s="99">
        <f t="shared" si="713"/>
        <v>6388.6</v>
      </c>
      <c r="U274" s="294">
        <f t="shared" si="714"/>
        <v>6388.6</v>
      </c>
      <c r="V274" s="99">
        <f t="shared" si="715"/>
        <v>6368.6</v>
      </c>
      <c r="W274" s="294">
        <f t="shared" si="716"/>
        <v>6368.6</v>
      </c>
      <c r="X274" s="685"/>
      <c r="Y274" s="777"/>
      <c r="Z274" s="777"/>
      <c r="AA274" s="686"/>
      <c r="AB274" s="189" t="s">
        <v>777</v>
      </c>
    </row>
    <row r="275" spans="1:38" ht="12.6" customHeight="1" x14ac:dyDescent="0.2">
      <c r="A275" s="18"/>
      <c r="B275" s="655" t="s">
        <v>915</v>
      </c>
      <c r="C275" s="656"/>
      <c r="D275" s="656"/>
      <c r="E275" s="656"/>
      <c r="F275" s="364">
        <f>1.07*X2</f>
        <v>1174.8600000000001</v>
      </c>
      <c r="G275" s="278">
        <f t="shared" ref="G275" si="731">+F275*$X$1</f>
        <v>1174.8600000000001</v>
      </c>
      <c r="H275" s="607"/>
      <c r="I275" s="278"/>
      <c r="J275" s="607">
        <f t="shared" ref="J275:J278" si="732">F275+260</f>
        <v>1434.8600000000001</v>
      </c>
      <c r="K275" s="278">
        <f t="shared" ref="K275:K278" si="733">+J275*$X$1</f>
        <v>1434.8600000000001</v>
      </c>
      <c r="L275" s="607">
        <f t="shared" ref="L275:L278" si="734">F275+230</f>
        <v>1404.8600000000001</v>
      </c>
      <c r="M275" s="278">
        <f t="shared" ref="M275:M278" si="735">+L275*$X$1</f>
        <v>1404.8600000000001</v>
      </c>
      <c r="N275" s="607">
        <f t="shared" ref="N275:N278" si="736">F275+200</f>
        <v>1374.8600000000001</v>
      </c>
      <c r="O275" s="278">
        <f t="shared" ref="O275:O278" si="737">+N275*$X$1</f>
        <v>1374.8600000000001</v>
      </c>
      <c r="P275" s="607">
        <f t="shared" ref="P275:P278" si="738">F275+170</f>
        <v>1344.8600000000001</v>
      </c>
      <c r="Q275" s="278">
        <f t="shared" ref="Q275:Q278" si="739">+P275*$X$1</f>
        <v>1344.8600000000001</v>
      </c>
      <c r="R275" s="607">
        <f t="shared" ref="R275:R278" si="740">F275+150</f>
        <v>1324.8600000000001</v>
      </c>
      <c r="S275" s="278">
        <f t="shared" ref="S275:S278" si="741">+R275*$X$1</f>
        <v>1324.8600000000001</v>
      </c>
      <c r="T275" s="100">
        <f t="shared" ref="T275:T278" si="742">F275+130</f>
        <v>1304.8600000000001</v>
      </c>
      <c r="U275" s="251">
        <f t="shared" ref="U275:U278" si="743">+T275*$X$1</f>
        <v>1304.8600000000001</v>
      </c>
      <c r="V275" s="100">
        <f t="shared" ref="V275:V278" si="744">F275+110</f>
        <v>1284.8600000000001</v>
      </c>
      <c r="W275" s="251">
        <f t="shared" ref="W275:W278" si="745">+V275*$X$1</f>
        <v>1284.8600000000001</v>
      </c>
      <c r="X275" s="671"/>
      <c r="Y275" s="652"/>
      <c r="Z275" s="652"/>
      <c r="AA275" s="653"/>
      <c r="AB275" s="189">
        <v>927</v>
      </c>
    </row>
    <row r="276" spans="1:38" ht="12.6" customHeight="1" x14ac:dyDescent="0.2">
      <c r="A276" s="101"/>
      <c r="B276" s="672" t="s">
        <v>412</v>
      </c>
      <c r="C276" s="673"/>
      <c r="D276" s="673"/>
      <c r="E276" s="673"/>
      <c r="F276" s="365">
        <f>7*X2</f>
        <v>7686</v>
      </c>
      <c r="G276" s="279">
        <f t="shared" ref="G276:G279" si="746">+F276*$X$1</f>
        <v>7686</v>
      </c>
      <c r="H276" s="440">
        <f t="shared" ref="H276:H278" si="747">F276+600</f>
        <v>8286</v>
      </c>
      <c r="I276" s="279">
        <f t="shared" ref="I276:I278" si="748">+H276*$X$1</f>
        <v>8286</v>
      </c>
      <c r="J276" s="440">
        <f t="shared" si="732"/>
        <v>7946</v>
      </c>
      <c r="K276" s="279">
        <f t="shared" si="733"/>
        <v>7946</v>
      </c>
      <c r="L276" s="440">
        <f t="shared" si="734"/>
        <v>7916</v>
      </c>
      <c r="M276" s="279">
        <f t="shared" si="735"/>
        <v>7916</v>
      </c>
      <c r="N276" s="440">
        <f t="shared" si="736"/>
        <v>7886</v>
      </c>
      <c r="O276" s="279">
        <f t="shared" si="737"/>
        <v>7886</v>
      </c>
      <c r="P276" s="440">
        <f t="shared" si="738"/>
        <v>7856</v>
      </c>
      <c r="Q276" s="279">
        <f t="shared" si="739"/>
        <v>7856</v>
      </c>
      <c r="R276" s="440">
        <f t="shared" si="740"/>
        <v>7836</v>
      </c>
      <c r="S276" s="279">
        <f t="shared" si="741"/>
        <v>7836</v>
      </c>
      <c r="T276" s="99">
        <f t="shared" si="742"/>
        <v>7816</v>
      </c>
      <c r="U276" s="294">
        <f t="shared" si="743"/>
        <v>7816</v>
      </c>
      <c r="V276" s="99">
        <f t="shared" si="744"/>
        <v>7796</v>
      </c>
      <c r="W276" s="294">
        <f t="shared" si="745"/>
        <v>7796</v>
      </c>
      <c r="X276" s="671"/>
      <c r="Y276" s="652"/>
      <c r="Z276" s="652"/>
      <c r="AA276" s="653"/>
      <c r="AB276" s="189">
        <v>928</v>
      </c>
    </row>
    <row r="277" spans="1:38" ht="12.6" customHeight="1" x14ac:dyDescent="0.2">
      <c r="A277" s="18"/>
      <c r="B277" s="690" t="s">
        <v>381</v>
      </c>
      <c r="C277" s="691"/>
      <c r="D277" s="691"/>
      <c r="E277" s="691"/>
      <c r="F277" s="364">
        <f>7.29*X2</f>
        <v>8004.42</v>
      </c>
      <c r="G277" s="278">
        <f t="shared" si="746"/>
        <v>8004.42</v>
      </c>
      <c r="H277" s="607">
        <f t="shared" si="747"/>
        <v>8604.42</v>
      </c>
      <c r="I277" s="278">
        <f t="shared" si="748"/>
        <v>8604.42</v>
      </c>
      <c r="J277" s="607">
        <f t="shared" si="732"/>
        <v>8264.42</v>
      </c>
      <c r="K277" s="278">
        <f t="shared" si="733"/>
        <v>8264.42</v>
      </c>
      <c r="L277" s="607">
        <f t="shared" si="734"/>
        <v>8234.42</v>
      </c>
      <c r="M277" s="278">
        <f t="shared" si="735"/>
        <v>8234.42</v>
      </c>
      <c r="N277" s="607">
        <f t="shared" si="736"/>
        <v>8204.42</v>
      </c>
      <c r="O277" s="278">
        <f t="shared" si="737"/>
        <v>8204.42</v>
      </c>
      <c r="P277" s="607">
        <f t="shared" si="738"/>
        <v>8174.42</v>
      </c>
      <c r="Q277" s="278">
        <f t="shared" si="739"/>
        <v>8174.42</v>
      </c>
      <c r="R277" s="607">
        <f t="shared" si="740"/>
        <v>8154.42</v>
      </c>
      <c r="S277" s="278">
        <f t="shared" si="741"/>
        <v>8154.42</v>
      </c>
      <c r="T277" s="100">
        <f t="shared" si="742"/>
        <v>8134.42</v>
      </c>
      <c r="U277" s="251">
        <f t="shared" si="743"/>
        <v>8134.42</v>
      </c>
      <c r="V277" s="100">
        <f t="shared" si="744"/>
        <v>8114.42</v>
      </c>
      <c r="W277" s="251">
        <f t="shared" si="745"/>
        <v>8114.42</v>
      </c>
      <c r="X277" s="671"/>
      <c r="Y277" s="732"/>
      <c r="Z277" s="732"/>
      <c r="AA277" s="653"/>
      <c r="AB277" s="189">
        <v>931</v>
      </c>
    </row>
    <row r="278" spans="1:38" ht="12.6" customHeight="1" x14ac:dyDescent="0.2">
      <c r="A278" s="18"/>
      <c r="B278" s="672" t="s">
        <v>774</v>
      </c>
      <c r="C278" s="673"/>
      <c r="D278" s="673"/>
      <c r="E278" s="673"/>
      <c r="F278" s="365">
        <f>2.98*X2</f>
        <v>3272.04</v>
      </c>
      <c r="G278" s="279">
        <f t="shared" si="746"/>
        <v>3272.04</v>
      </c>
      <c r="H278" s="440">
        <f t="shared" si="747"/>
        <v>3872.04</v>
      </c>
      <c r="I278" s="279">
        <f t="shared" si="748"/>
        <v>3872.04</v>
      </c>
      <c r="J278" s="440">
        <f t="shared" si="732"/>
        <v>3532.04</v>
      </c>
      <c r="K278" s="279">
        <f t="shared" si="733"/>
        <v>3532.04</v>
      </c>
      <c r="L278" s="440">
        <f t="shared" si="734"/>
        <v>3502.04</v>
      </c>
      <c r="M278" s="279">
        <f t="shared" si="735"/>
        <v>3502.04</v>
      </c>
      <c r="N278" s="440">
        <f t="shared" si="736"/>
        <v>3472.04</v>
      </c>
      <c r="O278" s="279">
        <f t="shared" si="737"/>
        <v>3472.04</v>
      </c>
      <c r="P278" s="440">
        <f t="shared" si="738"/>
        <v>3442.04</v>
      </c>
      <c r="Q278" s="279">
        <f t="shared" si="739"/>
        <v>3442.04</v>
      </c>
      <c r="R278" s="440">
        <f t="shared" si="740"/>
        <v>3422.04</v>
      </c>
      <c r="S278" s="279">
        <f t="shared" si="741"/>
        <v>3422.04</v>
      </c>
      <c r="T278" s="99">
        <f t="shared" si="742"/>
        <v>3402.04</v>
      </c>
      <c r="U278" s="294">
        <f t="shared" si="743"/>
        <v>3402.04</v>
      </c>
      <c r="V278" s="99">
        <f t="shared" si="744"/>
        <v>3382.04</v>
      </c>
      <c r="W278" s="294">
        <f t="shared" si="745"/>
        <v>3382.04</v>
      </c>
      <c r="X278" s="671"/>
      <c r="Y278" s="732"/>
      <c r="Z278" s="732"/>
      <c r="AA278" s="653"/>
      <c r="AB278" s="189">
        <v>933</v>
      </c>
    </row>
    <row r="279" spans="1:38" ht="12.6" customHeight="1" x14ac:dyDescent="0.2">
      <c r="A279" s="18"/>
      <c r="B279" s="690" t="s">
        <v>568</v>
      </c>
      <c r="C279" s="691"/>
      <c r="D279" s="691"/>
      <c r="E279" s="691"/>
      <c r="F279" s="364">
        <f>7.55*X2</f>
        <v>8289.9</v>
      </c>
      <c r="G279" s="278">
        <f t="shared" si="746"/>
        <v>8289.9</v>
      </c>
      <c r="H279" s="607">
        <f t="shared" ref="H279:H287" si="749">F279+600</f>
        <v>8889.9</v>
      </c>
      <c r="I279" s="278">
        <f t="shared" ref="I279:I287" si="750">+H279*$X$1</f>
        <v>8889.9</v>
      </c>
      <c r="J279" s="607">
        <f t="shared" ref="J279:J287" si="751">F279+260</f>
        <v>8549.9</v>
      </c>
      <c r="K279" s="278">
        <f t="shared" ref="K279:K287" si="752">+J279*$X$1</f>
        <v>8549.9</v>
      </c>
      <c r="L279" s="607">
        <f t="shared" ref="L279:L287" si="753">F279+230</f>
        <v>8519.9</v>
      </c>
      <c r="M279" s="278">
        <f t="shared" ref="M279:M287" si="754">+L279*$X$1</f>
        <v>8519.9</v>
      </c>
      <c r="N279" s="607">
        <f t="shared" ref="N279:N287" si="755">F279+200</f>
        <v>8489.9</v>
      </c>
      <c r="O279" s="278">
        <f t="shared" ref="O279:O287" si="756">+N279*$X$1</f>
        <v>8489.9</v>
      </c>
      <c r="P279" s="607">
        <f t="shared" ref="P279:P287" si="757">F279+170</f>
        <v>8459.9</v>
      </c>
      <c r="Q279" s="278">
        <f t="shared" ref="Q279:Q287" si="758">+P279*$X$1</f>
        <v>8459.9</v>
      </c>
      <c r="R279" s="607">
        <f t="shared" ref="R279:R287" si="759">F279+150</f>
        <v>8439.9</v>
      </c>
      <c r="S279" s="278">
        <f t="shared" ref="S279:S287" si="760">+R279*$X$1</f>
        <v>8439.9</v>
      </c>
      <c r="T279" s="100">
        <f t="shared" ref="T279:T287" si="761">F279+130</f>
        <v>8419.9</v>
      </c>
      <c r="U279" s="251">
        <f t="shared" ref="U279:U287" si="762">+T279*$X$1</f>
        <v>8419.9</v>
      </c>
      <c r="V279" s="100">
        <f t="shared" ref="V279:V287" si="763">F279+110</f>
        <v>8399.9</v>
      </c>
      <c r="W279" s="251">
        <f t="shared" ref="W279:W287" si="764">+V279*$X$1</f>
        <v>8399.9</v>
      </c>
      <c r="X279" s="362"/>
      <c r="Y279" s="362"/>
      <c r="Z279" s="362"/>
      <c r="AA279" s="362"/>
      <c r="AB279" s="189">
        <v>935</v>
      </c>
    </row>
    <row r="280" spans="1:38" ht="12.6" customHeight="1" x14ac:dyDescent="0.2">
      <c r="A280" s="18"/>
      <c r="B280" s="672" t="s">
        <v>600</v>
      </c>
      <c r="C280" s="673"/>
      <c r="D280" s="673"/>
      <c r="E280" s="673"/>
      <c r="F280" s="365">
        <f>10*X2</f>
        <v>10980</v>
      </c>
      <c r="G280" s="279">
        <f t="shared" ref="G280" si="765">+F280*$X$1</f>
        <v>10980</v>
      </c>
      <c r="H280" s="440">
        <f t="shared" si="749"/>
        <v>11580</v>
      </c>
      <c r="I280" s="279">
        <f t="shared" si="750"/>
        <v>11580</v>
      </c>
      <c r="J280" s="440">
        <f t="shared" si="751"/>
        <v>11240</v>
      </c>
      <c r="K280" s="279">
        <f t="shared" si="752"/>
        <v>11240</v>
      </c>
      <c r="L280" s="440">
        <f t="shared" si="753"/>
        <v>11210</v>
      </c>
      <c r="M280" s="279">
        <f t="shared" si="754"/>
        <v>11210</v>
      </c>
      <c r="N280" s="440">
        <f t="shared" si="755"/>
        <v>11180</v>
      </c>
      <c r="O280" s="279">
        <f t="shared" si="756"/>
        <v>11180</v>
      </c>
      <c r="P280" s="440">
        <f t="shared" si="757"/>
        <v>11150</v>
      </c>
      <c r="Q280" s="279">
        <f t="shared" si="758"/>
        <v>11150</v>
      </c>
      <c r="R280" s="440">
        <f t="shared" si="759"/>
        <v>11130</v>
      </c>
      <c r="S280" s="279">
        <f t="shared" si="760"/>
        <v>11130</v>
      </c>
      <c r="T280" s="99">
        <f t="shared" si="761"/>
        <v>11110</v>
      </c>
      <c r="U280" s="294">
        <f t="shared" si="762"/>
        <v>11110</v>
      </c>
      <c r="V280" s="99">
        <f t="shared" si="763"/>
        <v>11090</v>
      </c>
      <c r="W280" s="294">
        <f t="shared" si="764"/>
        <v>11090</v>
      </c>
      <c r="X280" s="671"/>
      <c r="Y280" s="652"/>
      <c r="Z280" s="652"/>
      <c r="AA280" s="653"/>
      <c r="AB280" s="189">
        <v>936</v>
      </c>
    </row>
    <row r="281" spans="1:38" ht="12.6" customHeight="1" x14ac:dyDescent="0.2">
      <c r="A281" s="18"/>
      <c r="B281" s="690" t="s">
        <v>839</v>
      </c>
      <c r="C281" s="691"/>
      <c r="D281" s="691"/>
      <c r="E281" s="691"/>
      <c r="F281" s="364">
        <f>4.9*X2</f>
        <v>5380.2000000000007</v>
      </c>
      <c r="G281" s="278">
        <f t="shared" ref="G281" si="766">+F281*$X$1</f>
        <v>5380.2000000000007</v>
      </c>
      <c r="H281" s="607">
        <f t="shared" si="749"/>
        <v>5980.2000000000007</v>
      </c>
      <c r="I281" s="278">
        <f t="shared" si="750"/>
        <v>5980.2000000000007</v>
      </c>
      <c r="J281" s="607">
        <f t="shared" si="751"/>
        <v>5640.2000000000007</v>
      </c>
      <c r="K281" s="278">
        <f t="shared" si="752"/>
        <v>5640.2000000000007</v>
      </c>
      <c r="L281" s="607">
        <f t="shared" si="753"/>
        <v>5610.2000000000007</v>
      </c>
      <c r="M281" s="278">
        <f t="shared" si="754"/>
        <v>5610.2000000000007</v>
      </c>
      <c r="N281" s="607">
        <f t="shared" si="755"/>
        <v>5580.2000000000007</v>
      </c>
      <c r="O281" s="278">
        <f t="shared" si="756"/>
        <v>5580.2000000000007</v>
      </c>
      <c r="P281" s="607">
        <f t="shared" si="757"/>
        <v>5550.2000000000007</v>
      </c>
      <c r="Q281" s="278">
        <f t="shared" si="758"/>
        <v>5550.2000000000007</v>
      </c>
      <c r="R281" s="607">
        <f t="shared" si="759"/>
        <v>5530.2000000000007</v>
      </c>
      <c r="S281" s="278">
        <f t="shared" si="760"/>
        <v>5530.2000000000007</v>
      </c>
      <c r="T281" s="100">
        <f t="shared" si="761"/>
        <v>5510.2000000000007</v>
      </c>
      <c r="U281" s="251">
        <f t="shared" si="762"/>
        <v>5510.2000000000007</v>
      </c>
      <c r="V281" s="100">
        <f t="shared" si="763"/>
        <v>5490.2000000000007</v>
      </c>
      <c r="W281" s="251">
        <f t="shared" si="764"/>
        <v>5490.2000000000007</v>
      </c>
      <c r="X281" s="671"/>
      <c r="Y281" s="652"/>
      <c r="Z281" s="652"/>
      <c r="AA281" s="653"/>
      <c r="AB281" s="189">
        <v>940</v>
      </c>
    </row>
    <row r="282" spans="1:38" ht="12.6" customHeight="1" x14ac:dyDescent="0.2">
      <c r="A282" s="18"/>
      <c r="B282" s="748" t="s">
        <v>197</v>
      </c>
      <c r="C282" s="983"/>
      <c r="D282" s="983"/>
      <c r="E282" s="984"/>
      <c r="F282" s="365">
        <f>5.483*X2</f>
        <v>6020.3339999999998</v>
      </c>
      <c r="G282" s="279">
        <f t="shared" ref="G282:G286" si="767">+F282*$X$1</f>
        <v>6020.3339999999998</v>
      </c>
      <c r="H282" s="440">
        <f t="shared" si="749"/>
        <v>6620.3339999999998</v>
      </c>
      <c r="I282" s="279">
        <f t="shared" si="750"/>
        <v>6620.3339999999998</v>
      </c>
      <c r="J282" s="440">
        <f t="shared" si="751"/>
        <v>6280.3339999999998</v>
      </c>
      <c r="K282" s="279">
        <f t="shared" si="752"/>
        <v>6280.3339999999998</v>
      </c>
      <c r="L282" s="440">
        <f t="shared" si="753"/>
        <v>6250.3339999999998</v>
      </c>
      <c r="M282" s="279">
        <f t="shared" si="754"/>
        <v>6250.3339999999998</v>
      </c>
      <c r="N282" s="440">
        <f t="shared" si="755"/>
        <v>6220.3339999999998</v>
      </c>
      <c r="O282" s="279">
        <f t="shared" si="756"/>
        <v>6220.3339999999998</v>
      </c>
      <c r="P282" s="440">
        <f t="shared" si="757"/>
        <v>6190.3339999999998</v>
      </c>
      <c r="Q282" s="279">
        <f t="shared" si="758"/>
        <v>6190.3339999999998</v>
      </c>
      <c r="R282" s="440">
        <f t="shared" si="759"/>
        <v>6170.3339999999998</v>
      </c>
      <c r="S282" s="279">
        <f t="shared" si="760"/>
        <v>6170.3339999999998</v>
      </c>
      <c r="T282" s="99">
        <f t="shared" si="761"/>
        <v>6150.3339999999998</v>
      </c>
      <c r="U282" s="294">
        <f t="shared" si="762"/>
        <v>6150.3339999999998</v>
      </c>
      <c r="V282" s="99">
        <f t="shared" si="763"/>
        <v>6130.3339999999998</v>
      </c>
      <c r="W282" s="294">
        <f t="shared" si="764"/>
        <v>6130.3339999999998</v>
      </c>
      <c r="X282" s="130"/>
      <c r="Y282" s="132"/>
      <c r="Z282" s="128"/>
      <c r="AA282" s="128"/>
      <c r="AB282" s="189">
        <v>945</v>
      </c>
      <c r="AD282" s="64"/>
      <c r="AE282" s="64"/>
      <c r="AF282" s="64"/>
      <c r="AG282" s="64"/>
    </row>
    <row r="283" spans="1:38" ht="12.6" customHeight="1" x14ac:dyDescent="0.2">
      <c r="A283" s="18"/>
      <c r="B283" s="690" t="s">
        <v>466</v>
      </c>
      <c r="C283" s="691"/>
      <c r="D283" s="691"/>
      <c r="E283" s="691"/>
      <c r="F283" s="364">
        <f>4.52*X2</f>
        <v>4962.9599999999991</v>
      </c>
      <c r="G283" s="278">
        <f t="shared" ref="G283" si="768">+F283*$X$1</f>
        <v>4962.9599999999991</v>
      </c>
      <c r="H283" s="607">
        <f t="shared" si="749"/>
        <v>5562.9599999999991</v>
      </c>
      <c r="I283" s="278">
        <f t="shared" si="750"/>
        <v>5562.9599999999991</v>
      </c>
      <c r="J283" s="607">
        <f t="shared" si="751"/>
        <v>5222.9599999999991</v>
      </c>
      <c r="K283" s="278">
        <f t="shared" si="752"/>
        <v>5222.9599999999991</v>
      </c>
      <c r="L283" s="607">
        <f t="shared" si="753"/>
        <v>5192.9599999999991</v>
      </c>
      <c r="M283" s="278">
        <f t="shared" si="754"/>
        <v>5192.9599999999991</v>
      </c>
      <c r="N283" s="607">
        <f t="shared" si="755"/>
        <v>5162.9599999999991</v>
      </c>
      <c r="O283" s="278">
        <f t="shared" si="756"/>
        <v>5162.9599999999991</v>
      </c>
      <c r="P283" s="607">
        <f t="shared" si="757"/>
        <v>5132.9599999999991</v>
      </c>
      <c r="Q283" s="278">
        <f t="shared" si="758"/>
        <v>5132.9599999999991</v>
      </c>
      <c r="R283" s="607">
        <f t="shared" si="759"/>
        <v>5112.9599999999991</v>
      </c>
      <c r="S283" s="278">
        <f t="shared" si="760"/>
        <v>5112.9599999999991</v>
      </c>
      <c r="T283" s="100">
        <f t="shared" si="761"/>
        <v>5092.9599999999991</v>
      </c>
      <c r="U283" s="251">
        <f t="shared" si="762"/>
        <v>5092.9599999999991</v>
      </c>
      <c r="V283" s="100">
        <f t="shared" si="763"/>
        <v>5072.9599999999991</v>
      </c>
      <c r="W283" s="251">
        <f t="shared" si="764"/>
        <v>5072.9599999999991</v>
      </c>
      <c r="X283" s="148"/>
      <c r="Y283" s="148"/>
      <c r="Z283" s="148"/>
      <c r="AA283" s="148"/>
      <c r="AB283" s="189">
        <v>946</v>
      </c>
    </row>
    <row r="284" spans="1:38" ht="12.6" customHeight="1" x14ac:dyDescent="0.2">
      <c r="A284" s="18"/>
      <c r="B284" s="980" t="s">
        <v>198</v>
      </c>
      <c r="C284" s="981"/>
      <c r="D284" s="981"/>
      <c r="E284" s="982"/>
      <c r="F284" s="365">
        <f>5.1*X2</f>
        <v>5599.7999999999993</v>
      </c>
      <c r="G284" s="279">
        <f t="shared" si="767"/>
        <v>5599.7999999999993</v>
      </c>
      <c r="H284" s="440">
        <f t="shared" si="749"/>
        <v>6199.7999999999993</v>
      </c>
      <c r="I284" s="279">
        <f t="shared" si="750"/>
        <v>6199.7999999999993</v>
      </c>
      <c r="J284" s="440"/>
      <c r="K284" s="279"/>
      <c r="L284" s="440"/>
      <c r="M284" s="279"/>
      <c r="N284" s="440"/>
      <c r="O284" s="279"/>
      <c r="P284" s="440"/>
      <c r="Q284" s="279"/>
      <c r="R284" s="440"/>
      <c r="S284" s="279"/>
      <c r="T284" s="99"/>
      <c r="U284" s="294"/>
      <c r="V284" s="99"/>
      <c r="W284" s="294"/>
      <c r="X284" s="671"/>
      <c r="Y284" s="732"/>
      <c r="Z284" s="732"/>
      <c r="AA284" s="653"/>
      <c r="AB284" s="397">
        <v>949</v>
      </c>
    </row>
    <row r="285" spans="1:38" ht="12.6" customHeight="1" x14ac:dyDescent="0.2">
      <c r="A285" s="18"/>
      <c r="B285" s="690" t="s">
        <v>569</v>
      </c>
      <c r="C285" s="691"/>
      <c r="D285" s="691"/>
      <c r="E285" s="691"/>
      <c r="F285" s="364">
        <f>6*X2</f>
        <v>6588</v>
      </c>
      <c r="G285" s="278">
        <f t="shared" si="767"/>
        <v>6588</v>
      </c>
      <c r="H285" s="607">
        <f t="shared" si="749"/>
        <v>7188</v>
      </c>
      <c r="I285" s="278">
        <f t="shared" si="750"/>
        <v>7188</v>
      </c>
      <c r="J285" s="607">
        <f t="shared" si="751"/>
        <v>6848</v>
      </c>
      <c r="K285" s="278">
        <f t="shared" si="752"/>
        <v>6848</v>
      </c>
      <c r="L285" s="607">
        <f t="shared" si="753"/>
        <v>6818</v>
      </c>
      <c r="M285" s="278">
        <f t="shared" si="754"/>
        <v>6818</v>
      </c>
      <c r="N285" s="607">
        <f t="shared" si="755"/>
        <v>6788</v>
      </c>
      <c r="O285" s="278">
        <f t="shared" si="756"/>
        <v>6788</v>
      </c>
      <c r="P285" s="607">
        <f t="shared" si="757"/>
        <v>6758</v>
      </c>
      <c r="Q285" s="278">
        <f t="shared" si="758"/>
        <v>6758</v>
      </c>
      <c r="R285" s="607">
        <f t="shared" si="759"/>
        <v>6738</v>
      </c>
      <c r="S285" s="278">
        <f t="shared" si="760"/>
        <v>6738</v>
      </c>
      <c r="T285" s="100">
        <f t="shared" si="761"/>
        <v>6718</v>
      </c>
      <c r="U285" s="251">
        <f t="shared" si="762"/>
        <v>6718</v>
      </c>
      <c r="V285" s="100">
        <f t="shared" si="763"/>
        <v>6698</v>
      </c>
      <c r="W285" s="251">
        <f t="shared" si="764"/>
        <v>6698</v>
      </c>
      <c r="X285" s="668"/>
      <c r="Y285" s="1114"/>
      <c r="Z285" s="1114"/>
      <c r="AA285" s="938"/>
      <c r="AB285" s="189">
        <v>962</v>
      </c>
    </row>
    <row r="286" spans="1:38" ht="12.6" customHeight="1" x14ac:dyDescent="0.2">
      <c r="A286" s="18"/>
      <c r="B286" s="672" t="s">
        <v>828</v>
      </c>
      <c r="C286" s="673"/>
      <c r="D286" s="673"/>
      <c r="E286" s="673"/>
      <c r="F286" s="365">
        <f>10.94*X2</f>
        <v>12012.119999999999</v>
      </c>
      <c r="G286" s="279">
        <f t="shared" si="767"/>
        <v>12012.119999999999</v>
      </c>
      <c r="H286" s="440">
        <f t="shared" si="749"/>
        <v>12612.119999999999</v>
      </c>
      <c r="I286" s="279">
        <f t="shared" si="750"/>
        <v>12612.119999999999</v>
      </c>
      <c r="J286" s="440">
        <f t="shared" si="751"/>
        <v>12272.119999999999</v>
      </c>
      <c r="K286" s="279">
        <f t="shared" si="752"/>
        <v>12272.119999999999</v>
      </c>
      <c r="L286" s="440">
        <f t="shared" si="753"/>
        <v>12242.119999999999</v>
      </c>
      <c r="M286" s="279">
        <f t="shared" si="754"/>
        <v>12242.119999999999</v>
      </c>
      <c r="N286" s="440">
        <f t="shared" si="755"/>
        <v>12212.119999999999</v>
      </c>
      <c r="O286" s="279">
        <f t="shared" si="756"/>
        <v>12212.119999999999</v>
      </c>
      <c r="P286" s="440">
        <f t="shared" si="757"/>
        <v>12182.119999999999</v>
      </c>
      <c r="Q286" s="279">
        <f t="shared" si="758"/>
        <v>12182.119999999999</v>
      </c>
      <c r="R286" s="440">
        <f t="shared" si="759"/>
        <v>12162.119999999999</v>
      </c>
      <c r="S286" s="279">
        <f t="shared" si="760"/>
        <v>12162.119999999999</v>
      </c>
      <c r="T286" s="99">
        <f t="shared" si="761"/>
        <v>12142.119999999999</v>
      </c>
      <c r="U286" s="294">
        <f t="shared" si="762"/>
        <v>12142.119999999999</v>
      </c>
      <c r="V286" s="99">
        <f t="shared" si="763"/>
        <v>12122.119999999999</v>
      </c>
      <c r="W286" s="294">
        <f t="shared" si="764"/>
        <v>12122.119999999999</v>
      </c>
      <c r="X286" s="438"/>
      <c r="Y286" s="438"/>
      <c r="Z286" s="438"/>
      <c r="AA286" s="438"/>
      <c r="AB286" s="189">
        <v>963</v>
      </c>
    </row>
    <row r="287" spans="1:38" ht="12.6" customHeight="1" x14ac:dyDescent="0.2">
      <c r="A287" s="18"/>
      <c r="B287" s="690" t="s">
        <v>869</v>
      </c>
      <c r="C287" s="691"/>
      <c r="D287" s="691"/>
      <c r="E287" s="691"/>
      <c r="F287" s="364">
        <f>7.1*X2</f>
        <v>7795.7999999999993</v>
      </c>
      <c r="G287" s="278">
        <f t="shared" ref="G287" si="769">+F287*$X$1</f>
        <v>7795.7999999999993</v>
      </c>
      <c r="H287" s="607">
        <f t="shared" si="749"/>
        <v>8395.7999999999993</v>
      </c>
      <c r="I287" s="278">
        <f t="shared" si="750"/>
        <v>8395.7999999999993</v>
      </c>
      <c r="J287" s="607">
        <f t="shared" si="751"/>
        <v>8055.7999999999993</v>
      </c>
      <c r="K287" s="278">
        <f t="shared" si="752"/>
        <v>8055.7999999999993</v>
      </c>
      <c r="L287" s="607">
        <f t="shared" si="753"/>
        <v>8025.7999999999993</v>
      </c>
      <c r="M287" s="278">
        <f t="shared" si="754"/>
        <v>8025.7999999999993</v>
      </c>
      <c r="N287" s="607">
        <f t="shared" si="755"/>
        <v>7995.7999999999993</v>
      </c>
      <c r="O287" s="278">
        <f t="shared" si="756"/>
        <v>7995.7999999999993</v>
      </c>
      <c r="P287" s="607">
        <f t="shared" si="757"/>
        <v>7965.7999999999993</v>
      </c>
      <c r="Q287" s="278">
        <f t="shared" si="758"/>
        <v>7965.7999999999993</v>
      </c>
      <c r="R287" s="607">
        <f t="shared" si="759"/>
        <v>7945.7999999999993</v>
      </c>
      <c r="S287" s="278">
        <f t="shared" si="760"/>
        <v>7945.7999999999993</v>
      </c>
      <c r="T287" s="100">
        <f t="shared" si="761"/>
        <v>7925.7999999999993</v>
      </c>
      <c r="U287" s="251">
        <f t="shared" si="762"/>
        <v>7925.7999999999993</v>
      </c>
      <c r="V287" s="100">
        <f t="shared" si="763"/>
        <v>7905.7999999999993</v>
      </c>
      <c r="W287" s="251">
        <f t="shared" si="764"/>
        <v>7905.7999999999993</v>
      </c>
      <c r="X287" s="438"/>
      <c r="Y287" s="438"/>
      <c r="Z287" s="438"/>
      <c r="AA287" s="438"/>
      <c r="AB287" s="189">
        <v>966</v>
      </c>
    </row>
    <row r="288" spans="1:38" s="1" customFormat="1" ht="12.6" customHeight="1" x14ac:dyDescent="0.2">
      <c r="A288" s="19"/>
      <c r="B288" s="672" t="s">
        <v>366</v>
      </c>
      <c r="C288" s="673"/>
      <c r="D288" s="673"/>
      <c r="E288" s="673"/>
      <c r="F288" s="279">
        <v>430</v>
      </c>
      <c r="G288" s="279">
        <f>+F288*$X$1</f>
        <v>430</v>
      </c>
      <c r="H288" s="271"/>
      <c r="I288" s="271"/>
      <c r="J288" s="440">
        <f>F288+230</f>
        <v>660</v>
      </c>
      <c r="K288" s="279">
        <f t="shared" ref="K288:K289" si="770">+J288*$X$1</f>
        <v>660</v>
      </c>
      <c r="L288" s="440">
        <f>F288+180</f>
        <v>610</v>
      </c>
      <c r="M288" s="279">
        <f>+L288*$X$1</f>
        <v>610</v>
      </c>
      <c r="N288" s="440">
        <f>F288+130</f>
        <v>560</v>
      </c>
      <c r="O288" s="279">
        <f>+N288*$X$1</f>
        <v>560</v>
      </c>
      <c r="P288" s="440">
        <f>F288+110</f>
        <v>540</v>
      </c>
      <c r="Q288" s="279">
        <f>+P288*$X$1</f>
        <v>540</v>
      </c>
      <c r="R288" s="440">
        <f>F288+90</f>
        <v>520</v>
      </c>
      <c r="S288" s="279">
        <f>+R288*$X$1</f>
        <v>520</v>
      </c>
      <c r="T288" s="99">
        <f>F288+80</f>
        <v>510</v>
      </c>
      <c r="U288" s="294">
        <f>+T288*$X$1</f>
        <v>510</v>
      </c>
      <c r="V288" s="99">
        <f>F288+70</f>
        <v>500</v>
      </c>
      <c r="W288" s="294">
        <f>+V288*$X$1</f>
        <v>500</v>
      </c>
      <c r="X288" s="145"/>
      <c r="Y288" s="145"/>
      <c r="Z288" s="145"/>
      <c r="AA288" s="145"/>
      <c r="AB288" s="189">
        <v>998</v>
      </c>
      <c r="AC288" s="74"/>
      <c r="AD288" s="4"/>
      <c r="AE288" s="4"/>
      <c r="AF288" s="4"/>
      <c r="AG288" s="4"/>
      <c r="AH288" s="4"/>
      <c r="AI288" s="4"/>
      <c r="AJ288" s="4"/>
      <c r="AK288" s="4"/>
      <c r="AL288" s="4"/>
    </row>
    <row r="289" spans="1:38" ht="12.6" customHeight="1" x14ac:dyDescent="0.2">
      <c r="A289" s="18"/>
      <c r="B289" s="655" t="s">
        <v>982</v>
      </c>
      <c r="C289" s="656"/>
      <c r="D289" s="656"/>
      <c r="E289" s="656"/>
      <c r="F289" s="364">
        <v>5650</v>
      </c>
      <c r="G289" s="278">
        <f>+F289*$X$1</f>
        <v>5650</v>
      </c>
      <c r="H289" s="70"/>
      <c r="I289" s="278"/>
      <c r="J289" s="639">
        <f>F289+280</f>
        <v>5930</v>
      </c>
      <c r="K289" s="278">
        <f t="shared" si="770"/>
        <v>5930</v>
      </c>
      <c r="L289" s="639">
        <f>F289+230</f>
        <v>5880</v>
      </c>
      <c r="M289" s="278">
        <f t="shared" ref="M289" si="771">+L289*$X$1</f>
        <v>5880</v>
      </c>
      <c r="N289" s="639">
        <f>F289+190</f>
        <v>5840</v>
      </c>
      <c r="O289" s="278">
        <f t="shared" ref="O289" si="772">+N289*$X$1</f>
        <v>5840</v>
      </c>
      <c r="P289" s="639">
        <f>F289+160</f>
        <v>5810</v>
      </c>
      <c r="Q289" s="278">
        <f t="shared" ref="Q289" si="773">+P289*$X$1</f>
        <v>5810</v>
      </c>
      <c r="R289" s="639">
        <f>F289+130</f>
        <v>5780</v>
      </c>
      <c r="S289" s="278">
        <f t="shared" ref="S289" si="774">+R289*$X$1</f>
        <v>5780</v>
      </c>
      <c r="T289" s="639">
        <f>F289+110</f>
        <v>5760</v>
      </c>
      <c r="U289" s="278">
        <f t="shared" ref="U289" si="775">+T289*$X$1</f>
        <v>5760</v>
      </c>
      <c r="V289" s="639">
        <f>F289+90</f>
        <v>5740</v>
      </c>
      <c r="W289" s="278">
        <f t="shared" ref="W289" si="776">+V289*$X$1</f>
        <v>5740</v>
      </c>
      <c r="X289" s="684"/>
      <c r="Y289" s="685"/>
      <c r="Z289" s="685"/>
      <c r="AA289" s="686"/>
      <c r="AB289" s="189">
        <v>1023</v>
      </c>
    </row>
    <row r="290" spans="1:38" s="1" customFormat="1" ht="12.6" customHeight="1" x14ac:dyDescent="0.2">
      <c r="A290" s="19"/>
      <c r="B290" s="748" t="s">
        <v>893</v>
      </c>
      <c r="C290" s="772"/>
      <c r="D290" s="772"/>
      <c r="E290" s="773"/>
      <c r="F290" s="365">
        <f>2.6*X2</f>
        <v>2854.8</v>
      </c>
      <c r="G290" s="279">
        <f>+F290*$X$1</f>
        <v>2854.8</v>
      </c>
      <c r="H290" s="440">
        <f t="shared" ref="H290:H291" si="777">F290+600</f>
        <v>3454.8</v>
      </c>
      <c r="I290" s="279">
        <f t="shared" ref="I290:I291" si="778">+H290*$X$1</f>
        <v>3454.8</v>
      </c>
      <c r="J290" s="440">
        <f t="shared" ref="J290:J291" si="779">F290+260</f>
        <v>3114.8</v>
      </c>
      <c r="K290" s="279">
        <f t="shared" ref="K290:K291" si="780">+J290*$X$1</f>
        <v>3114.8</v>
      </c>
      <c r="L290" s="440">
        <f t="shared" ref="L290:L291" si="781">F290+230</f>
        <v>3084.8</v>
      </c>
      <c r="M290" s="279">
        <f t="shared" ref="M290:M292" si="782">+L290*$X$1</f>
        <v>3084.8</v>
      </c>
      <c r="N290" s="440">
        <f t="shared" ref="N290:N291" si="783">F290+200</f>
        <v>3054.8</v>
      </c>
      <c r="O290" s="279">
        <f t="shared" ref="O290:O292" si="784">+N290*$X$1</f>
        <v>3054.8</v>
      </c>
      <c r="P290" s="440">
        <f t="shared" ref="P290:P291" si="785">F290+170</f>
        <v>3024.8</v>
      </c>
      <c r="Q290" s="279">
        <f t="shared" ref="Q290:Q292" si="786">+P290*$X$1</f>
        <v>3024.8</v>
      </c>
      <c r="R290" s="440">
        <f t="shared" ref="R290:R291" si="787">F290+150</f>
        <v>3004.8</v>
      </c>
      <c r="S290" s="279">
        <f t="shared" ref="S290:S292" si="788">+R290*$X$1</f>
        <v>3004.8</v>
      </c>
      <c r="T290" s="99">
        <f t="shared" ref="T290:T291" si="789">F290+130</f>
        <v>2984.8</v>
      </c>
      <c r="U290" s="294">
        <f t="shared" ref="U290:U292" si="790">+T290*$X$1</f>
        <v>2984.8</v>
      </c>
      <c r="V290" s="99">
        <f t="shared" ref="V290:V291" si="791">F290+110</f>
        <v>2964.8</v>
      </c>
      <c r="W290" s="294">
        <f t="shared" ref="W290:W292" si="792">+V290*$X$1</f>
        <v>2964.8</v>
      </c>
      <c r="X290" s="530"/>
      <c r="Y290" s="532"/>
      <c r="Z290" s="532"/>
      <c r="AA290" s="531"/>
      <c r="AB290" s="189">
        <v>1024</v>
      </c>
      <c r="AC290" s="4"/>
      <c r="AD290" s="4"/>
      <c r="AE290" s="4"/>
      <c r="AF290" s="4"/>
      <c r="AG290" s="4"/>
      <c r="AH290" s="471"/>
      <c r="AI290" s="4"/>
      <c r="AJ290" s="4"/>
      <c r="AK290" s="4"/>
      <c r="AL290" s="4"/>
    </row>
    <row r="291" spans="1:38" s="1" customFormat="1" ht="12.6" customHeight="1" x14ac:dyDescent="0.2">
      <c r="A291" s="19"/>
      <c r="B291" s="733" t="s">
        <v>817</v>
      </c>
      <c r="C291" s="734"/>
      <c r="D291" s="734"/>
      <c r="E291" s="735"/>
      <c r="F291" s="364">
        <f>2.6*X2</f>
        <v>2854.8</v>
      </c>
      <c r="G291" s="278">
        <f>+F291*$X$1</f>
        <v>2854.8</v>
      </c>
      <c r="H291" s="639">
        <f t="shared" si="777"/>
        <v>3454.8</v>
      </c>
      <c r="I291" s="278">
        <f t="shared" si="778"/>
        <v>3454.8</v>
      </c>
      <c r="J291" s="639">
        <f t="shared" si="779"/>
        <v>3114.8</v>
      </c>
      <c r="K291" s="278">
        <f t="shared" si="780"/>
        <v>3114.8</v>
      </c>
      <c r="L291" s="639">
        <f t="shared" si="781"/>
        <v>3084.8</v>
      </c>
      <c r="M291" s="278">
        <f t="shared" si="782"/>
        <v>3084.8</v>
      </c>
      <c r="N291" s="639">
        <f t="shared" si="783"/>
        <v>3054.8</v>
      </c>
      <c r="O291" s="278">
        <f t="shared" si="784"/>
        <v>3054.8</v>
      </c>
      <c r="P291" s="639">
        <f t="shared" si="785"/>
        <v>3024.8</v>
      </c>
      <c r="Q291" s="278">
        <f t="shared" si="786"/>
        <v>3024.8</v>
      </c>
      <c r="R291" s="639">
        <f t="shared" si="787"/>
        <v>3004.8</v>
      </c>
      <c r="S291" s="278">
        <f t="shared" si="788"/>
        <v>3004.8</v>
      </c>
      <c r="T291" s="100">
        <f t="shared" si="789"/>
        <v>2984.8</v>
      </c>
      <c r="U291" s="251">
        <f t="shared" si="790"/>
        <v>2984.8</v>
      </c>
      <c r="V291" s="100">
        <f t="shared" si="791"/>
        <v>2964.8</v>
      </c>
      <c r="W291" s="251">
        <f t="shared" si="792"/>
        <v>2964.8</v>
      </c>
      <c r="X291" s="470"/>
      <c r="Y291" s="468"/>
      <c r="Z291" s="468"/>
      <c r="AA291" s="469"/>
      <c r="AB291" s="189">
        <v>1026</v>
      </c>
      <c r="AC291" s="4"/>
      <c r="AD291" s="4"/>
      <c r="AE291" s="4"/>
      <c r="AF291" s="4"/>
      <c r="AG291" s="4"/>
      <c r="AH291" s="471"/>
      <c r="AI291" s="4"/>
      <c r="AJ291" s="4"/>
      <c r="AK291" s="4"/>
      <c r="AL291" s="4"/>
    </row>
    <row r="292" spans="1:38" s="1" customFormat="1" ht="12.6" customHeight="1" x14ac:dyDescent="0.2">
      <c r="A292" s="19"/>
      <c r="B292" s="748" t="s">
        <v>573</v>
      </c>
      <c r="C292" s="772"/>
      <c r="D292" s="772"/>
      <c r="E292" s="773"/>
      <c r="F292" s="561">
        <f>14.4*X2</f>
        <v>15811.2</v>
      </c>
      <c r="G292" s="281">
        <f t="shared" ref="G292:G294" si="793">+F292*$X$1</f>
        <v>15811.2</v>
      </c>
      <c r="H292" s="87">
        <f>F292+650</f>
        <v>16461.2</v>
      </c>
      <c r="I292" s="279">
        <f>+H292*$X$1</f>
        <v>16461.2</v>
      </c>
      <c r="J292" s="440">
        <f>F292+280</f>
        <v>16091.2</v>
      </c>
      <c r="K292" s="279">
        <f>+J292*$X$1</f>
        <v>16091.2</v>
      </c>
      <c r="L292" s="440">
        <f>F292+230</f>
        <v>16041.2</v>
      </c>
      <c r="M292" s="279">
        <f t="shared" si="782"/>
        <v>16041.2</v>
      </c>
      <c r="N292" s="440">
        <f>F292+190</f>
        <v>16001.2</v>
      </c>
      <c r="O292" s="279">
        <f t="shared" si="784"/>
        <v>16001.2</v>
      </c>
      <c r="P292" s="440">
        <f>F292+160</f>
        <v>15971.2</v>
      </c>
      <c r="Q292" s="279">
        <f t="shared" si="786"/>
        <v>15971.2</v>
      </c>
      <c r="R292" s="440">
        <f>F292+130</f>
        <v>15941.2</v>
      </c>
      <c r="S292" s="279">
        <f t="shared" si="788"/>
        <v>15941.2</v>
      </c>
      <c r="T292" s="440">
        <f>F292+110</f>
        <v>15921.2</v>
      </c>
      <c r="U292" s="279">
        <f t="shared" si="790"/>
        <v>15921.2</v>
      </c>
      <c r="V292" s="440">
        <f>F292+90</f>
        <v>15901.2</v>
      </c>
      <c r="W292" s="279">
        <f t="shared" si="792"/>
        <v>15901.2</v>
      </c>
      <c r="X292" s="324"/>
      <c r="Y292" s="325"/>
      <c r="Z292" s="325"/>
      <c r="AA292" s="326"/>
      <c r="AB292" s="189">
        <v>1028</v>
      </c>
      <c r="AC292" s="4"/>
      <c r="AD292" s="4"/>
      <c r="AE292" s="4"/>
      <c r="AF292" s="4"/>
      <c r="AG292" s="4"/>
      <c r="AH292" s="125"/>
      <c r="AI292" s="4"/>
      <c r="AJ292" s="4"/>
      <c r="AK292" s="4"/>
      <c r="AL292" s="4"/>
    </row>
    <row r="293" spans="1:38" s="1" customFormat="1" ht="12.6" customHeight="1" x14ac:dyDescent="0.2">
      <c r="A293" s="19"/>
      <c r="B293" s="733" t="s">
        <v>830</v>
      </c>
      <c r="C293" s="734"/>
      <c r="D293" s="734"/>
      <c r="E293" s="735"/>
      <c r="F293" s="319">
        <v>3480</v>
      </c>
      <c r="G293" s="278">
        <f t="shared" ref="G293" si="794">+F293*$X$1</f>
        <v>3480</v>
      </c>
      <c r="H293" s="639"/>
      <c r="I293" s="278"/>
      <c r="J293" s="639"/>
      <c r="K293" s="278"/>
      <c r="L293" s="639">
        <f t="shared" ref="L293:L295" si="795">F293+230</f>
        <v>3710</v>
      </c>
      <c r="M293" s="278">
        <f t="shared" ref="M293:M296" si="796">+L293*$X$1</f>
        <v>3710</v>
      </c>
      <c r="N293" s="639">
        <f t="shared" ref="N293:N295" si="797">F293+200</f>
        <v>3680</v>
      </c>
      <c r="O293" s="278">
        <f t="shared" ref="O293:O296" si="798">+N293*$X$1</f>
        <v>3680</v>
      </c>
      <c r="P293" s="639">
        <f t="shared" ref="P293:P295" si="799">F293+170</f>
        <v>3650</v>
      </c>
      <c r="Q293" s="278">
        <f t="shared" ref="Q293:Q296" si="800">+P293*$X$1</f>
        <v>3650</v>
      </c>
      <c r="R293" s="639">
        <f t="shared" ref="R293:R295" si="801">F293+150</f>
        <v>3630</v>
      </c>
      <c r="S293" s="278">
        <f t="shared" ref="S293:S296" si="802">+R293*$X$1</f>
        <v>3630</v>
      </c>
      <c r="T293" s="100">
        <f t="shared" ref="T293:T295" si="803">F293+130</f>
        <v>3610</v>
      </c>
      <c r="U293" s="251">
        <f t="shared" ref="U293:U296" si="804">+T293*$X$1</f>
        <v>3610</v>
      </c>
      <c r="V293" s="100">
        <f t="shared" ref="V293:V295" si="805">F293+110</f>
        <v>3590</v>
      </c>
      <c r="W293" s="251">
        <f t="shared" ref="W293:W296" si="806">+V293*$X$1</f>
        <v>3590</v>
      </c>
      <c r="X293" s="476"/>
      <c r="Y293" s="477"/>
      <c r="Z293" s="477"/>
      <c r="AA293" s="478"/>
      <c r="AB293" s="189">
        <v>1029</v>
      </c>
      <c r="AC293" s="4"/>
      <c r="AD293" s="4"/>
      <c r="AE293" s="4"/>
      <c r="AF293" s="4"/>
      <c r="AG293" s="4"/>
      <c r="AH293" s="125"/>
      <c r="AI293" s="4"/>
      <c r="AJ293" s="4"/>
      <c r="AK293" s="4"/>
      <c r="AL293" s="4"/>
    </row>
    <row r="294" spans="1:38" s="1" customFormat="1" ht="12.6" customHeight="1" x14ac:dyDescent="0.2">
      <c r="A294" s="19"/>
      <c r="B294" s="748" t="s">
        <v>571</v>
      </c>
      <c r="C294" s="772"/>
      <c r="D294" s="772"/>
      <c r="E294" s="773"/>
      <c r="F294" s="318">
        <v>3480</v>
      </c>
      <c r="G294" s="279">
        <f t="shared" si="793"/>
        <v>3480</v>
      </c>
      <c r="H294" s="440"/>
      <c r="I294" s="279"/>
      <c r="J294" s="440"/>
      <c r="K294" s="279"/>
      <c r="L294" s="440">
        <f t="shared" si="795"/>
        <v>3710</v>
      </c>
      <c r="M294" s="279">
        <f t="shared" si="796"/>
        <v>3710</v>
      </c>
      <c r="N294" s="440">
        <f t="shared" si="797"/>
        <v>3680</v>
      </c>
      <c r="O294" s="279">
        <f t="shared" si="798"/>
        <v>3680</v>
      </c>
      <c r="P294" s="440">
        <f t="shared" si="799"/>
        <v>3650</v>
      </c>
      <c r="Q294" s="279">
        <f t="shared" si="800"/>
        <v>3650</v>
      </c>
      <c r="R294" s="440">
        <f t="shared" si="801"/>
        <v>3630</v>
      </c>
      <c r="S294" s="279">
        <f t="shared" si="802"/>
        <v>3630</v>
      </c>
      <c r="T294" s="99">
        <f t="shared" si="803"/>
        <v>3610</v>
      </c>
      <c r="U294" s="294">
        <f t="shared" si="804"/>
        <v>3610</v>
      </c>
      <c r="V294" s="99">
        <f t="shared" si="805"/>
        <v>3590</v>
      </c>
      <c r="W294" s="294">
        <f t="shared" si="806"/>
        <v>3590</v>
      </c>
      <c r="X294" s="314"/>
      <c r="Y294" s="312"/>
      <c r="Z294" s="312"/>
      <c r="AA294" s="313"/>
      <c r="AB294" s="189">
        <v>1030</v>
      </c>
      <c r="AC294" s="4"/>
      <c r="AD294" s="4"/>
      <c r="AE294" s="4"/>
      <c r="AF294" s="4"/>
      <c r="AG294" s="4"/>
      <c r="AH294" s="125"/>
      <c r="AI294" s="4"/>
      <c r="AJ294" s="4"/>
      <c r="AK294" s="4"/>
      <c r="AL294" s="4"/>
    </row>
    <row r="295" spans="1:38" s="1" customFormat="1" ht="12.6" customHeight="1" x14ac:dyDescent="0.2">
      <c r="A295" s="19"/>
      <c r="B295" s="733" t="s">
        <v>572</v>
      </c>
      <c r="C295" s="734"/>
      <c r="D295" s="734"/>
      <c r="E295" s="735"/>
      <c r="F295" s="319">
        <v>3480</v>
      </c>
      <c r="G295" s="278">
        <f t="shared" ref="G295:G296" si="807">+F295*$X$1</f>
        <v>3480</v>
      </c>
      <c r="H295" s="639"/>
      <c r="I295" s="278"/>
      <c r="J295" s="639"/>
      <c r="K295" s="278"/>
      <c r="L295" s="639">
        <f t="shared" si="795"/>
        <v>3710</v>
      </c>
      <c r="M295" s="278">
        <f t="shared" si="796"/>
        <v>3710</v>
      </c>
      <c r="N295" s="639">
        <f t="shared" si="797"/>
        <v>3680</v>
      </c>
      <c r="O295" s="278">
        <f t="shared" si="798"/>
        <v>3680</v>
      </c>
      <c r="P295" s="639">
        <f t="shared" si="799"/>
        <v>3650</v>
      </c>
      <c r="Q295" s="278">
        <f t="shared" si="800"/>
        <v>3650</v>
      </c>
      <c r="R295" s="639">
        <f t="shared" si="801"/>
        <v>3630</v>
      </c>
      <c r="S295" s="278">
        <f t="shared" si="802"/>
        <v>3630</v>
      </c>
      <c r="T295" s="100">
        <f t="shared" si="803"/>
        <v>3610</v>
      </c>
      <c r="U295" s="251">
        <f t="shared" si="804"/>
        <v>3610</v>
      </c>
      <c r="V295" s="100">
        <f t="shared" si="805"/>
        <v>3590</v>
      </c>
      <c r="W295" s="251">
        <f t="shared" si="806"/>
        <v>3590</v>
      </c>
      <c r="X295" s="320"/>
      <c r="Y295" s="321"/>
      <c r="Z295" s="321"/>
      <c r="AA295" s="322"/>
      <c r="AB295" s="189">
        <v>1031</v>
      </c>
      <c r="AC295" s="4"/>
      <c r="AD295" s="4"/>
      <c r="AE295" s="4"/>
      <c r="AF295" s="4"/>
      <c r="AG295" s="4"/>
      <c r="AH295" s="125"/>
      <c r="AI295" s="4"/>
      <c r="AJ295" s="4"/>
      <c r="AK295" s="4"/>
      <c r="AL295" s="4"/>
    </row>
    <row r="296" spans="1:38" s="1" customFormat="1" ht="12.6" customHeight="1" x14ac:dyDescent="0.2">
      <c r="A296" s="19"/>
      <c r="B296" s="748" t="s">
        <v>842</v>
      </c>
      <c r="C296" s="772"/>
      <c r="D296" s="772"/>
      <c r="E296" s="773"/>
      <c r="F296" s="365">
        <f>14.82*X2</f>
        <v>16272.36</v>
      </c>
      <c r="G296" s="279">
        <f t="shared" si="807"/>
        <v>16272.36</v>
      </c>
      <c r="H296" s="87">
        <f>F296+600</f>
        <v>16872.36</v>
      </c>
      <c r="I296" s="279">
        <f t="shared" ref="I296:I313" si="808">+H296*$X$1</f>
        <v>16872.36</v>
      </c>
      <c r="J296" s="440">
        <f>F296+260</f>
        <v>16532.36</v>
      </c>
      <c r="K296" s="279">
        <f t="shared" ref="K296:K313" si="809">+J296*$X$1</f>
        <v>16532.36</v>
      </c>
      <c r="L296" s="440">
        <f>F296+220</f>
        <v>16492.36</v>
      </c>
      <c r="M296" s="279">
        <f t="shared" si="796"/>
        <v>16492.36</v>
      </c>
      <c r="N296" s="440">
        <f>F296+180</f>
        <v>16452.36</v>
      </c>
      <c r="O296" s="279">
        <f t="shared" si="798"/>
        <v>16452.36</v>
      </c>
      <c r="P296" s="440">
        <f>F296+150</f>
        <v>16422.36</v>
      </c>
      <c r="Q296" s="279">
        <f t="shared" si="800"/>
        <v>16422.36</v>
      </c>
      <c r="R296" s="440">
        <f>F296+120</f>
        <v>16392.36</v>
      </c>
      <c r="S296" s="279">
        <f t="shared" si="802"/>
        <v>16392.36</v>
      </c>
      <c r="T296" s="440">
        <f>F296+100</f>
        <v>16372.36</v>
      </c>
      <c r="U296" s="279">
        <f t="shared" si="804"/>
        <v>16372.36</v>
      </c>
      <c r="V296" s="440">
        <f>F296+80</f>
        <v>16352.36</v>
      </c>
      <c r="W296" s="279">
        <f t="shared" si="806"/>
        <v>16352.36</v>
      </c>
      <c r="X296" s="245"/>
      <c r="Y296" s="246"/>
      <c r="Z296" s="246"/>
      <c r="AA296" s="247"/>
      <c r="AB296" s="189">
        <v>1032</v>
      </c>
      <c r="AC296" s="4"/>
      <c r="AD296" s="4"/>
      <c r="AE296" s="4"/>
      <c r="AF296" s="4"/>
      <c r="AG296" s="4"/>
      <c r="AH296" s="125"/>
      <c r="AI296" s="4"/>
      <c r="AJ296" s="4"/>
      <c r="AK296" s="4"/>
      <c r="AL296" s="4"/>
    </row>
    <row r="297" spans="1:38" s="1" customFormat="1" ht="12.6" customHeight="1" x14ac:dyDescent="0.2">
      <c r="A297" s="19"/>
      <c r="B297" s="733" t="s">
        <v>454</v>
      </c>
      <c r="C297" s="734"/>
      <c r="D297" s="734"/>
      <c r="E297" s="735"/>
      <c r="F297" s="364">
        <f>20.46*X2</f>
        <v>22465.08</v>
      </c>
      <c r="G297" s="278">
        <f t="shared" ref="G297" si="810">+F297*$X$1</f>
        <v>22465.08</v>
      </c>
      <c r="H297" s="70">
        <f>F297+650</f>
        <v>23115.08</v>
      </c>
      <c r="I297" s="278">
        <f t="shared" si="808"/>
        <v>23115.08</v>
      </c>
      <c r="J297" s="639">
        <f>F297+280</f>
        <v>22745.08</v>
      </c>
      <c r="K297" s="278">
        <f t="shared" si="809"/>
        <v>22745.08</v>
      </c>
      <c r="L297" s="639">
        <f>F297+230</f>
        <v>22695.08</v>
      </c>
      <c r="M297" s="278">
        <f t="shared" ref="M297:M299" si="811">+L297*$X$1</f>
        <v>22695.08</v>
      </c>
      <c r="N297" s="639">
        <f>F297+190</f>
        <v>22655.08</v>
      </c>
      <c r="O297" s="278">
        <f t="shared" ref="O297:O299" si="812">+N297*$X$1</f>
        <v>22655.08</v>
      </c>
      <c r="P297" s="639">
        <f>F297+160</f>
        <v>22625.08</v>
      </c>
      <c r="Q297" s="278">
        <f t="shared" ref="Q297:Q299" si="813">+P297*$X$1</f>
        <v>22625.08</v>
      </c>
      <c r="R297" s="639">
        <f>F297+130</f>
        <v>22595.08</v>
      </c>
      <c r="S297" s="278">
        <f t="shared" ref="S297:S299" si="814">+R297*$X$1</f>
        <v>22595.08</v>
      </c>
      <c r="T297" s="639">
        <f>F297+110</f>
        <v>22575.08</v>
      </c>
      <c r="U297" s="278">
        <f t="shared" ref="U297:U299" si="815">+T297*$X$1</f>
        <v>22575.08</v>
      </c>
      <c r="V297" s="639">
        <f>F297+90</f>
        <v>22555.08</v>
      </c>
      <c r="W297" s="278">
        <f t="shared" ref="W297:W299" si="816">+V297*$X$1</f>
        <v>22555.08</v>
      </c>
      <c r="X297" s="238"/>
      <c r="Y297" s="240"/>
      <c r="Z297" s="240"/>
      <c r="AA297" s="239"/>
      <c r="AB297" s="189">
        <v>1034</v>
      </c>
      <c r="AC297" s="4"/>
      <c r="AD297" s="4"/>
      <c r="AE297" s="4"/>
      <c r="AF297" s="4"/>
      <c r="AG297" s="4"/>
      <c r="AH297" s="125"/>
      <c r="AI297" s="4"/>
      <c r="AJ297" s="4"/>
      <c r="AK297" s="4"/>
      <c r="AL297" s="4"/>
    </row>
    <row r="298" spans="1:38" ht="12.6" customHeight="1" x14ac:dyDescent="0.2">
      <c r="A298" s="18"/>
      <c r="B298" s="672" t="s">
        <v>416</v>
      </c>
      <c r="C298" s="673"/>
      <c r="D298" s="673"/>
      <c r="E298" s="673"/>
      <c r="F298" s="318">
        <v>13870</v>
      </c>
      <c r="G298" s="279">
        <f>+F298*$X$1</f>
        <v>13870</v>
      </c>
      <c r="H298" s="87">
        <f>F298+600</f>
        <v>14470</v>
      </c>
      <c r="I298" s="279">
        <f t="shared" si="808"/>
        <v>14470</v>
      </c>
      <c r="J298" s="440">
        <f>F298+260</f>
        <v>14130</v>
      </c>
      <c r="K298" s="279">
        <f t="shared" si="809"/>
        <v>14130</v>
      </c>
      <c r="L298" s="440">
        <f>F298+220</f>
        <v>14090</v>
      </c>
      <c r="M298" s="279">
        <f t="shared" si="811"/>
        <v>14090</v>
      </c>
      <c r="N298" s="440">
        <f>F298+180</f>
        <v>14050</v>
      </c>
      <c r="O298" s="279">
        <f t="shared" si="812"/>
        <v>14050</v>
      </c>
      <c r="P298" s="440">
        <f>F298+150</f>
        <v>14020</v>
      </c>
      <c r="Q298" s="279">
        <f t="shared" si="813"/>
        <v>14020</v>
      </c>
      <c r="R298" s="440">
        <f>F298+120</f>
        <v>13990</v>
      </c>
      <c r="S298" s="279">
        <f t="shared" si="814"/>
        <v>13990</v>
      </c>
      <c r="T298" s="440">
        <f>F298+100</f>
        <v>13970</v>
      </c>
      <c r="U298" s="279">
        <f t="shared" si="815"/>
        <v>13970</v>
      </c>
      <c r="V298" s="440">
        <f>F298+80</f>
        <v>13950</v>
      </c>
      <c r="W298" s="279">
        <f t="shared" si="816"/>
        <v>13950</v>
      </c>
      <c r="X298" s="684"/>
      <c r="Y298" s="685"/>
      <c r="Z298" s="685"/>
      <c r="AA298" s="686"/>
      <c r="AB298" s="189">
        <v>1040</v>
      </c>
      <c r="AC298" s="63"/>
    </row>
    <row r="299" spans="1:38" ht="12.6" customHeight="1" x14ac:dyDescent="0.2">
      <c r="A299" s="18"/>
      <c r="B299" s="690" t="s">
        <v>751</v>
      </c>
      <c r="C299" s="691"/>
      <c r="D299" s="691"/>
      <c r="E299" s="691"/>
      <c r="F299" s="364">
        <f>21.3*X2</f>
        <v>23387.4</v>
      </c>
      <c r="G299" s="278">
        <f>+F299*$X$1</f>
        <v>23387.4</v>
      </c>
      <c r="H299" s="70">
        <f>F299+600</f>
        <v>23987.4</v>
      </c>
      <c r="I299" s="278">
        <f t="shared" si="808"/>
        <v>23987.4</v>
      </c>
      <c r="J299" s="639">
        <f>F299+260</f>
        <v>23647.4</v>
      </c>
      <c r="K299" s="278">
        <f t="shared" si="809"/>
        <v>23647.4</v>
      </c>
      <c r="L299" s="639">
        <f>F299+220</f>
        <v>23607.4</v>
      </c>
      <c r="M299" s="278">
        <f t="shared" si="811"/>
        <v>23607.4</v>
      </c>
      <c r="N299" s="639">
        <f>F299+180</f>
        <v>23567.4</v>
      </c>
      <c r="O299" s="278">
        <f t="shared" si="812"/>
        <v>23567.4</v>
      </c>
      <c r="P299" s="639">
        <f>F299+150</f>
        <v>23537.4</v>
      </c>
      <c r="Q299" s="278">
        <f t="shared" si="813"/>
        <v>23537.4</v>
      </c>
      <c r="R299" s="639">
        <f>F299+120</f>
        <v>23507.4</v>
      </c>
      <c r="S299" s="278">
        <f t="shared" si="814"/>
        <v>23507.4</v>
      </c>
      <c r="T299" s="639">
        <f>F299+100</f>
        <v>23487.4</v>
      </c>
      <c r="U299" s="278">
        <f t="shared" si="815"/>
        <v>23487.4</v>
      </c>
      <c r="V299" s="639">
        <f>F299+80</f>
        <v>23467.4</v>
      </c>
      <c r="W299" s="278">
        <f t="shared" si="816"/>
        <v>23467.4</v>
      </c>
      <c r="X299" s="684"/>
      <c r="Y299" s="685"/>
      <c r="Z299" s="685"/>
      <c r="AA299" s="686"/>
      <c r="AB299" s="189">
        <v>1041</v>
      </c>
      <c r="AC299" s="63"/>
    </row>
    <row r="300" spans="1:38" ht="12.6" customHeight="1" x14ac:dyDescent="0.2">
      <c r="A300" s="18"/>
      <c r="B300" s="672" t="s">
        <v>750</v>
      </c>
      <c r="C300" s="673"/>
      <c r="D300" s="673"/>
      <c r="E300" s="673"/>
      <c r="F300" s="365">
        <f>14.8*X2</f>
        <v>16250.400000000001</v>
      </c>
      <c r="G300" s="279">
        <f t="shared" ref="G300" si="817">+F300*$X$1</f>
        <v>16250.400000000001</v>
      </c>
      <c r="H300" s="87">
        <f>F300+650</f>
        <v>16900.400000000001</v>
      </c>
      <c r="I300" s="279">
        <f t="shared" si="808"/>
        <v>16900.400000000001</v>
      </c>
      <c r="J300" s="440">
        <f>F300+280</f>
        <v>16530.400000000001</v>
      </c>
      <c r="K300" s="279">
        <f t="shared" si="809"/>
        <v>16530.400000000001</v>
      </c>
      <c r="L300" s="440">
        <f>F300+230</f>
        <v>16480.400000000001</v>
      </c>
      <c r="M300" s="279">
        <f t="shared" ref="M300:M314" si="818">+L300*$X$1</f>
        <v>16480.400000000001</v>
      </c>
      <c r="N300" s="440">
        <f>F300+190</f>
        <v>16440.400000000001</v>
      </c>
      <c r="O300" s="279">
        <f t="shared" ref="O300:O314" si="819">+N300*$X$1</f>
        <v>16440.400000000001</v>
      </c>
      <c r="P300" s="440">
        <f>F300+160</f>
        <v>16410.400000000001</v>
      </c>
      <c r="Q300" s="279">
        <f t="shared" ref="Q300:Q314" si="820">+P300*$X$1</f>
        <v>16410.400000000001</v>
      </c>
      <c r="R300" s="440">
        <f>F300+130</f>
        <v>16380.400000000001</v>
      </c>
      <c r="S300" s="279">
        <f t="shared" ref="S300:S314" si="821">+R300*$X$1</f>
        <v>16380.400000000001</v>
      </c>
      <c r="T300" s="440">
        <f>F300+110</f>
        <v>16360.400000000001</v>
      </c>
      <c r="U300" s="279">
        <f t="shared" ref="U300:U314" si="822">+T300*$X$1</f>
        <v>16360.400000000001</v>
      </c>
      <c r="V300" s="440">
        <f>F300+90</f>
        <v>16340.400000000001</v>
      </c>
      <c r="W300" s="279">
        <f t="shared" ref="W300:W314" si="823">+V300*$X$1</f>
        <v>16340.400000000001</v>
      </c>
      <c r="X300" s="684"/>
      <c r="Y300" s="685"/>
      <c r="Z300" s="685"/>
      <c r="AA300" s="686"/>
      <c r="AB300" s="189">
        <v>1042</v>
      </c>
    </row>
    <row r="301" spans="1:38" ht="12.6" customHeight="1" x14ac:dyDescent="0.2">
      <c r="A301" s="18"/>
      <c r="B301" s="690" t="s">
        <v>503</v>
      </c>
      <c r="C301" s="691"/>
      <c r="D301" s="691"/>
      <c r="E301" s="691"/>
      <c r="F301" s="319">
        <v>19997</v>
      </c>
      <c r="G301" s="278">
        <f t="shared" ref="G301:G308" si="824">+F301*$X$1</f>
        <v>19997</v>
      </c>
      <c r="H301" s="70">
        <f t="shared" ref="H301:H313" si="825">F301+600</f>
        <v>20597</v>
      </c>
      <c r="I301" s="278">
        <f t="shared" si="808"/>
        <v>20597</v>
      </c>
      <c r="J301" s="639">
        <f t="shared" ref="J301:J313" si="826">F301+260</f>
        <v>20257</v>
      </c>
      <c r="K301" s="278">
        <f t="shared" si="809"/>
        <v>20257</v>
      </c>
      <c r="L301" s="639">
        <f t="shared" ref="L301:L313" si="827">F301+220</f>
        <v>20217</v>
      </c>
      <c r="M301" s="278">
        <f t="shared" si="818"/>
        <v>20217</v>
      </c>
      <c r="N301" s="639">
        <f t="shared" ref="N301:N313" si="828">F301+180</f>
        <v>20177</v>
      </c>
      <c r="O301" s="278">
        <f t="shared" si="819"/>
        <v>20177</v>
      </c>
      <c r="P301" s="639">
        <f t="shared" ref="P301:P313" si="829">F301+150</f>
        <v>20147</v>
      </c>
      <c r="Q301" s="278">
        <f t="shared" si="820"/>
        <v>20147</v>
      </c>
      <c r="R301" s="639">
        <f t="shared" ref="R301:R313" si="830">F301+120</f>
        <v>20117</v>
      </c>
      <c r="S301" s="278">
        <f t="shared" si="821"/>
        <v>20117</v>
      </c>
      <c r="T301" s="639">
        <f t="shared" ref="T301:T313" si="831">F301+100</f>
        <v>20097</v>
      </c>
      <c r="U301" s="278">
        <f t="shared" si="822"/>
        <v>20097</v>
      </c>
      <c r="V301" s="639">
        <f t="shared" ref="V301:V313" si="832">F301+80</f>
        <v>20077</v>
      </c>
      <c r="W301" s="278">
        <f t="shared" si="823"/>
        <v>20077</v>
      </c>
      <c r="X301" s="684"/>
      <c r="Y301" s="685"/>
      <c r="Z301" s="685"/>
      <c r="AA301" s="686"/>
      <c r="AB301" s="189">
        <v>1043</v>
      </c>
      <c r="AC301" s="63"/>
    </row>
    <row r="302" spans="1:38" ht="12.6" customHeight="1" x14ac:dyDescent="0.2">
      <c r="A302" s="18"/>
      <c r="B302" s="672" t="s">
        <v>990</v>
      </c>
      <c r="C302" s="673"/>
      <c r="D302" s="673"/>
      <c r="E302" s="673"/>
      <c r="F302" s="318">
        <v>23380</v>
      </c>
      <c r="G302" s="279">
        <f t="shared" si="824"/>
        <v>23380</v>
      </c>
      <c r="H302" s="87">
        <f t="shared" si="825"/>
        <v>23980</v>
      </c>
      <c r="I302" s="279">
        <f t="shared" si="808"/>
        <v>23980</v>
      </c>
      <c r="J302" s="440">
        <f t="shared" si="826"/>
        <v>23640</v>
      </c>
      <c r="K302" s="279">
        <f t="shared" si="809"/>
        <v>23640</v>
      </c>
      <c r="L302" s="440">
        <f t="shared" si="827"/>
        <v>23600</v>
      </c>
      <c r="M302" s="279">
        <f t="shared" si="818"/>
        <v>23600</v>
      </c>
      <c r="N302" s="440">
        <f t="shared" si="828"/>
        <v>23560</v>
      </c>
      <c r="O302" s="279">
        <f t="shared" si="819"/>
        <v>23560</v>
      </c>
      <c r="P302" s="440">
        <f t="shared" si="829"/>
        <v>23530</v>
      </c>
      <c r="Q302" s="279">
        <f t="shared" si="820"/>
        <v>23530</v>
      </c>
      <c r="R302" s="440">
        <f t="shared" si="830"/>
        <v>23500</v>
      </c>
      <c r="S302" s="279">
        <f t="shared" si="821"/>
        <v>23500</v>
      </c>
      <c r="T302" s="440">
        <f t="shared" si="831"/>
        <v>23480</v>
      </c>
      <c r="U302" s="279">
        <f t="shared" si="822"/>
        <v>23480</v>
      </c>
      <c r="V302" s="440">
        <f t="shared" si="832"/>
        <v>23460</v>
      </c>
      <c r="W302" s="279">
        <f t="shared" si="823"/>
        <v>23460</v>
      </c>
      <c r="X302" s="684"/>
      <c r="Y302" s="685"/>
      <c r="Z302" s="685"/>
      <c r="AA302" s="686"/>
      <c r="AB302" s="189">
        <v>1044</v>
      </c>
      <c r="AC302" s="63"/>
    </row>
    <row r="303" spans="1:38" ht="12.6" customHeight="1" x14ac:dyDescent="0.2">
      <c r="A303" s="18"/>
      <c r="B303" s="690" t="s">
        <v>787</v>
      </c>
      <c r="C303" s="691"/>
      <c r="D303" s="691"/>
      <c r="E303" s="691"/>
      <c r="F303" s="319">
        <v>24493</v>
      </c>
      <c r="G303" s="278">
        <f>+F303*$X$1</f>
        <v>24493</v>
      </c>
      <c r="H303" s="70">
        <f t="shared" si="825"/>
        <v>25093</v>
      </c>
      <c r="I303" s="278">
        <f t="shared" si="808"/>
        <v>25093</v>
      </c>
      <c r="J303" s="639">
        <f t="shared" si="826"/>
        <v>24753</v>
      </c>
      <c r="K303" s="278">
        <f t="shared" si="809"/>
        <v>24753</v>
      </c>
      <c r="L303" s="639">
        <f t="shared" si="827"/>
        <v>24713</v>
      </c>
      <c r="M303" s="278">
        <f t="shared" si="818"/>
        <v>24713</v>
      </c>
      <c r="N303" s="639">
        <f t="shared" si="828"/>
        <v>24673</v>
      </c>
      <c r="O303" s="278">
        <f t="shared" si="819"/>
        <v>24673</v>
      </c>
      <c r="P303" s="639">
        <f t="shared" si="829"/>
        <v>24643</v>
      </c>
      <c r="Q303" s="278">
        <f t="shared" si="820"/>
        <v>24643</v>
      </c>
      <c r="R303" s="639">
        <f t="shared" si="830"/>
        <v>24613</v>
      </c>
      <c r="S303" s="278">
        <f t="shared" si="821"/>
        <v>24613</v>
      </c>
      <c r="T303" s="639">
        <f t="shared" si="831"/>
        <v>24593</v>
      </c>
      <c r="U303" s="278">
        <f t="shared" si="822"/>
        <v>24593</v>
      </c>
      <c r="V303" s="639">
        <f t="shared" si="832"/>
        <v>24573</v>
      </c>
      <c r="W303" s="278">
        <f t="shared" si="823"/>
        <v>24573</v>
      </c>
      <c r="X303" s="685"/>
      <c r="Y303" s="685"/>
      <c r="Z303" s="685"/>
      <c r="AA303" s="686"/>
      <c r="AB303" s="189">
        <v>1045</v>
      </c>
      <c r="AC303" s="63"/>
    </row>
    <row r="304" spans="1:38" ht="12.6" customHeight="1" x14ac:dyDescent="0.2">
      <c r="A304" s="18"/>
      <c r="B304" s="672" t="s">
        <v>535</v>
      </c>
      <c r="C304" s="673"/>
      <c r="D304" s="673"/>
      <c r="E304" s="673"/>
      <c r="F304" s="318">
        <v>12726</v>
      </c>
      <c r="G304" s="279">
        <f t="shared" si="824"/>
        <v>12726</v>
      </c>
      <c r="H304" s="87">
        <f t="shared" si="825"/>
        <v>13326</v>
      </c>
      <c r="I304" s="279">
        <f t="shared" si="808"/>
        <v>13326</v>
      </c>
      <c r="J304" s="440">
        <f t="shared" si="826"/>
        <v>12986</v>
      </c>
      <c r="K304" s="279">
        <f t="shared" si="809"/>
        <v>12986</v>
      </c>
      <c r="L304" s="440">
        <f t="shared" si="827"/>
        <v>12946</v>
      </c>
      <c r="M304" s="279">
        <f t="shared" si="818"/>
        <v>12946</v>
      </c>
      <c r="N304" s="440">
        <f t="shared" si="828"/>
        <v>12906</v>
      </c>
      <c r="O304" s="279">
        <f t="shared" si="819"/>
        <v>12906</v>
      </c>
      <c r="P304" s="440">
        <f t="shared" si="829"/>
        <v>12876</v>
      </c>
      <c r="Q304" s="279">
        <f t="shared" si="820"/>
        <v>12876</v>
      </c>
      <c r="R304" s="440">
        <f t="shared" si="830"/>
        <v>12846</v>
      </c>
      <c r="S304" s="279">
        <f t="shared" si="821"/>
        <v>12846</v>
      </c>
      <c r="T304" s="440">
        <f t="shared" si="831"/>
        <v>12826</v>
      </c>
      <c r="U304" s="279">
        <f t="shared" si="822"/>
        <v>12826</v>
      </c>
      <c r="V304" s="440">
        <f t="shared" si="832"/>
        <v>12806</v>
      </c>
      <c r="W304" s="279">
        <f t="shared" si="823"/>
        <v>12806</v>
      </c>
      <c r="X304" s="684"/>
      <c r="Y304" s="685"/>
      <c r="Z304" s="685"/>
      <c r="AA304" s="686"/>
      <c r="AB304" s="189">
        <v>1048</v>
      </c>
      <c r="AC304" s="63"/>
    </row>
    <row r="305" spans="1:34" ht="12.6" customHeight="1" x14ac:dyDescent="0.2">
      <c r="A305" s="18"/>
      <c r="B305" s="690" t="s">
        <v>534</v>
      </c>
      <c r="C305" s="691"/>
      <c r="D305" s="691"/>
      <c r="E305" s="691"/>
      <c r="F305" s="319">
        <v>9961</v>
      </c>
      <c r="G305" s="278">
        <f t="shared" si="824"/>
        <v>9961</v>
      </c>
      <c r="H305" s="70">
        <f t="shared" si="825"/>
        <v>10561</v>
      </c>
      <c r="I305" s="278">
        <f t="shared" si="808"/>
        <v>10561</v>
      </c>
      <c r="J305" s="641">
        <f t="shared" si="826"/>
        <v>10221</v>
      </c>
      <c r="K305" s="278">
        <f t="shared" si="809"/>
        <v>10221</v>
      </c>
      <c r="L305" s="641">
        <f t="shared" si="827"/>
        <v>10181</v>
      </c>
      <c r="M305" s="278">
        <f t="shared" si="818"/>
        <v>10181</v>
      </c>
      <c r="N305" s="641">
        <f t="shared" si="828"/>
        <v>10141</v>
      </c>
      <c r="O305" s="278">
        <f t="shared" si="819"/>
        <v>10141</v>
      </c>
      <c r="P305" s="641">
        <f t="shared" si="829"/>
        <v>10111</v>
      </c>
      <c r="Q305" s="278">
        <f t="shared" si="820"/>
        <v>10111</v>
      </c>
      <c r="R305" s="641">
        <f t="shared" si="830"/>
        <v>10081</v>
      </c>
      <c r="S305" s="278">
        <f t="shared" si="821"/>
        <v>10081</v>
      </c>
      <c r="T305" s="641">
        <f t="shared" si="831"/>
        <v>10061</v>
      </c>
      <c r="U305" s="278">
        <f t="shared" si="822"/>
        <v>10061</v>
      </c>
      <c r="V305" s="641">
        <f t="shared" si="832"/>
        <v>10041</v>
      </c>
      <c r="W305" s="278">
        <f t="shared" si="823"/>
        <v>10041</v>
      </c>
      <c r="X305" s="684"/>
      <c r="Y305" s="685"/>
      <c r="Z305" s="685"/>
      <c r="AA305" s="686"/>
      <c r="AB305" s="189">
        <v>1049</v>
      </c>
      <c r="AC305" s="63"/>
    </row>
    <row r="306" spans="1:34" ht="12.6" customHeight="1" x14ac:dyDescent="0.2">
      <c r="A306" s="18"/>
      <c r="B306" s="672" t="s">
        <v>536</v>
      </c>
      <c r="C306" s="673"/>
      <c r="D306" s="673"/>
      <c r="E306" s="673"/>
      <c r="F306" s="318">
        <v>11435</v>
      </c>
      <c r="G306" s="279">
        <f t="shared" si="824"/>
        <v>11435</v>
      </c>
      <c r="H306" s="87">
        <f t="shared" si="825"/>
        <v>12035</v>
      </c>
      <c r="I306" s="279">
        <f t="shared" si="808"/>
        <v>12035</v>
      </c>
      <c r="J306" s="440">
        <f t="shared" si="826"/>
        <v>11695</v>
      </c>
      <c r="K306" s="279">
        <f t="shared" si="809"/>
        <v>11695</v>
      </c>
      <c r="L306" s="440">
        <f t="shared" si="827"/>
        <v>11655</v>
      </c>
      <c r="M306" s="279">
        <f t="shared" si="818"/>
        <v>11655</v>
      </c>
      <c r="N306" s="440">
        <f t="shared" si="828"/>
        <v>11615</v>
      </c>
      <c r="O306" s="279">
        <f t="shared" si="819"/>
        <v>11615</v>
      </c>
      <c r="P306" s="440">
        <f t="shared" si="829"/>
        <v>11585</v>
      </c>
      <c r="Q306" s="279">
        <f t="shared" si="820"/>
        <v>11585</v>
      </c>
      <c r="R306" s="440">
        <f t="shared" si="830"/>
        <v>11555</v>
      </c>
      <c r="S306" s="279">
        <f t="shared" si="821"/>
        <v>11555</v>
      </c>
      <c r="T306" s="440">
        <f t="shared" si="831"/>
        <v>11535</v>
      </c>
      <c r="U306" s="279">
        <f t="shared" si="822"/>
        <v>11535</v>
      </c>
      <c r="V306" s="440">
        <f t="shared" si="832"/>
        <v>11515</v>
      </c>
      <c r="W306" s="279">
        <f t="shared" si="823"/>
        <v>11515</v>
      </c>
      <c r="X306" s="684"/>
      <c r="Y306" s="685"/>
      <c r="Z306" s="685"/>
      <c r="AA306" s="686"/>
      <c r="AB306" s="189">
        <v>1050</v>
      </c>
      <c r="AC306" s="63"/>
    </row>
    <row r="307" spans="1:34" ht="12.6" customHeight="1" x14ac:dyDescent="0.2">
      <c r="A307" s="18"/>
      <c r="B307" s="992" t="s">
        <v>788</v>
      </c>
      <c r="C307" s="1014"/>
      <c r="D307" s="1014"/>
      <c r="E307" s="1015"/>
      <c r="F307" s="515">
        <f>11.8*X2</f>
        <v>12956.400000000001</v>
      </c>
      <c r="G307" s="511">
        <f t="shared" ref="G307" si="833">+F307*$X$1</f>
        <v>12956.400000000001</v>
      </c>
      <c r="H307" s="513">
        <f t="shared" si="825"/>
        <v>13556.400000000001</v>
      </c>
      <c r="I307" s="511">
        <f t="shared" si="808"/>
        <v>13556.400000000001</v>
      </c>
      <c r="J307" s="637">
        <f t="shared" si="826"/>
        <v>13216.400000000001</v>
      </c>
      <c r="K307" s="511">
        <f t="shared" si="809"/>
        <v>13216.400000000001</v>
      </c>
      <c r="L307" s="637">
        <f t="shared" si="827"/>
        <v>13176.400000000001</v>
      </c>
      <c r="M307" s="511">
        <f t="shared" si="818"/>
        <v>13176.400000000001</v>
      </c>
      <c r="N307" s="637">
        <f t="shared" si="828"/>
        <v>13136.400000000001</v>
      </c>
      <c r="O307" s="511">
        <f t="shared" si="819"/>
        <v>13136.400000000001</v>
      </c>
      <c r="P307" s="637">
        <f t="shared" si="829"/>
        <v>13106.400000000001</v>
      </c>
      <c r="Q307" s="511">
        <f t="shared" si="820"/>
        <v>13106.400000000001</v>
      </c>
      <c r="R307" s="637">
        <f t="shared" si="830"/>
        <v>13076.400000000001</v>
      </c>
      <c r="S307" s="511">
        <f t="shared" si="821"/>
        <v>13076.400000000001</v>
      </c>
      <c r="T307" s="637">
        <f t="shared" si="831"/>
        <v>13056.400000000001</v>
      </c>
      <c r="U307" s="511">
        <f t="shared" si="822"/>
        <v>13056.400000000001</v>
      </c>
      <c r="V307" s="637">
        <f t="shared" si="832"/>
        <v>13036.400000000001</v>
      </c>
      <c r="W307" s="511">
        <f t="shared" si="823"/>
        <v>13036.400000000001</v>
      </c>
      <c r="X307" s="684"/>
      <c r="Y307" s="685"/>
      <c r="Z307" s="685"/>
      <c r="AA307" s="686"/>
      <c r="AB307" s="189">
        <v>1052</v>
      </c>
      <c r="AC307" s="63"/>
    </row>
    <row r="308" spans="1:34" ht="12.6" customHeight="1" x14ac:dyDescent="0.2">
      <c r="A308" s="18"/>
      <c r="B308" s="748" t="s">
        <v>446</v>
      </c>
      <c r="C308" s="950"/>
      <c r="D308" s="950"/>
      <c r="E308" s="951"/>
      <c r="F308" s="365">
        <f>31.583*X2</f>
        <v>34678.133999999998</v>
      </c>
      <c r="G308" s="279">
        <f t="shared" si="824"/>
        <v>34678.133999999998</v>
      </c>
      <c r="H308" s="87">
        <f t="shared" si="825"/>
        <v>35278.133999999998</v>
      </c>
      <c r="I308" s="279">
        <f t="shared" si="808"/>
        <v>35278.133999999998</v>
      </c>
      <c r="J308" s="440">
        <f t="shared" si="826"/>
        <v>34938.133999999998</v>
      </c>
      <c r="K308" s="279">
        <f t="shared" si="809"/>
        <v>34938.133999999998</v>
      </c>
      <c r="L308" s="440">
        <f t="shared" si="827"/>
        <v>34898.133999999998</v>
      </c>
      <c r="M308" s="279">
        <f t="shared" si="818"/>
        <v>34898.133999999998</v>
      </c>
      <c r="N308" s="440">
        <f t="shared" si="828"/>
        <v>34858.133999999998</v>
      </c>
      <c r="O308" s="279">
        <f t="shared" si="819"/>
        <v>34858.133999999998</v>
      </c>
      <c r="P308" s="440">
        <f t="shared" si="829"/>
        <v>34828.133999999998</v>
      </c>
      <c r="Q308" s="279">
        <f t="shared" si="820"/>
        <v>34828.133999999998</v>
      </c>
      <c r="R308" s="440">
        <f t="shared" si="830"/>
        <v>34798.133999999998</v>
      </c>
      <c r="S308" s="279">
        <f t="shared" si="821"/>
        <v>34798.133999999998</v>
      </c>
      <c r="T308" s="440">
        <f t="shared" si="831"/>
        <v>34778.133999999998</v>
      </c>
      <c r="U308" s="279">
        <f t="shared" si="822"/>
        <v>34778.133999999998</v>
      </c>
      <c r="V308" s="440">
        <f t="shared" si="832"/>
        <v>34758.133999999998</v>
      </c>
      <c r="W308" s="279">
        <f t="shared" si="823"/>
        <v>34758.133999999998</v>
      </c>
      <c r="X308" s="684"/>
      <c r="Y308" s="685"/>
      <c r="Z308" s="685"/>
      <c r="AA308" s="686"/>
      <c r="AB308" s="189">
        <v>1053</v>
      </c>
      <c r="AC308" s="63"/>
    </row>
    <row r="309" spans="1:34" ht="12.6" customHeight="1" x14ac:dyDescent="0.2">
      <c r="A309" s="18"/>
      <c r="B309" s="992" t="s">
        <v>848</v>
      </c>
      <c r="C309" s="1014"/>
      <c r="D309" s="1014"/>
      <c r="E309" s="1015"/>
      <c r="F309" s="515">
        <f>9.7*X2</f>
        <v>10650.599999999999</v>
      </c>
      <c r="G309" s="511">
        <f t="shared" ref="G309" si="834">+F309*$X$1</f>
        <v>10650.599999999999</v>
      </c>
      <c r="H309" s="513">
        <f t="shared" si="825"/>
        <v>11250.599999999999</v>
      </c>
      <c r="I309" s="511">
        <f t="shared" si="808"/>
        <v>11250.599999999999</v>
      </c>
      <c r="J309" s="637">
        <f t="shared" si="826"/>
        <v>10910.599999999999</v>
      </c>
      <c r="K309" s="511">
        <f t="shared" si="809"/>
        <v>10910.599999999999</v>
      </c>
      <c r="L309" s="637">
        <f t="shared" si="827"/>
        <v>10870.599999999999</v>
      </c>
      <c r="M309" s="511">
        <f t="shared" si="818"/>
        <v>10870.599999999999</v>
      </c>
      <c r="N309" s="637">
        <f t="shared" si="828"/>
        <v>10830.599999999999</v>
      </c>
      <c r="O309" s="511">
        <f t="shared" si="819"/>
        <v>10830.599999999999</v>
      </c>
      <c r="P309" s="637">
        <f t="shared" si="829"/>
        <v>10800.599999999999</v>
      </c>
      <c r="Q309" s="511">
        <f t="shared" si="820"/>
        <v>10800.599999999999</v>
      </c>
      <c r="R309" s="637">
        <f t="shared" si="830"/>
        <v>10770.599999999999</v>
      </c>
      <c r="S309" s="511">
        <f t="shared" si="821"/>
        <v>10770.599999999999</v>
      </c>
      <c r="T309" s="637">
        <f t="shared" si="831"/>
        <v>10750.599999999999</v>
      </c>
      <c r="U309" s="511">
        <f t="shared" si="822"/>
        <v>10750.599999999999</v>
      </c>
      <c r="V309" s="637">
        <f t="shared" si="832"/>
        <v>10730.599999999999</v>
      </c>
      <c r="W309" s="511">
        <f t="shared" si="823"/>
        <v>10730.599999999999</v>
      </c>
      <c r="X309" s="684"/>
      <c r="Y309" s="685"/>
      <c r="Z309" s="685"/>
      <c r="AA309" s="686"/>
      <c r="AB309" s="189">
        <v>1054</v>
      </c>
      <c r="AC309" s="63"/>
    </row>
    <row r="310" spans="1:34" ht="12.6" customHeight="1" x14ac:dyDescent="0.2">
      <c r="A310" s="18"/>
      <c r="B310" s="748" t="s">
        <v>916</v>
      </c>
      <c r="C310" s="950"/>
      <c r="D310" s="950"/>
      <c r="E310" s="951"/>
      <c r="F310" s="365">
        <f>26.8*X2</f>
        <v>29426.400000000001</v>
      </c>
      <c r="G310" s="279">
        <f t="shared" ref="G310" si="835">+F310*$X$1</f>
        <v>29426.400000000001</v>
      </c>
      <c r="H310" s="87">
        <f t="shared" si="825"/>
        <v>30026.400000000001</v>
      </c>
      <c r="I310" s="279">
        <f t="shared" si="808"/>
        <v>30026.400000000001</v>
      </c>
      <c r="J310" s="440">
        <f t="shared" si="826"/>
        <v>29686.400000000001</v>
      </c>
      <c r="K310" s="279">
        <f t="shared" si="809"/>
        <v>29686.400000000001</v>
      </c>
      <c r="L310" s="440">
        <f t="shared" si="827"/>
        <v>29646.400000000001</v>
      </c>
      <c r="M310" s="279">
        <f t="shared" si="818"/>
        <v>29646.400000000001</v>
      </c>
      <c r="N310" s="440">
        <f t="shared" si="828"/>
        <v>29606.400000000001</v>
      </c>
      <c r="O310" s="279">
        <f t="shared" si="819"/>
        <v>29606.400000000001</v>
      </c>
      <c r="P310" s="440">
        <f t="shared" si="829"/>
        <v>29576.400000000001</v>
      </c>
      <c r="Q310" s="279">
        <f t="shared" si="820"/>
        <v>29576.400000000001</v>
      </c>
      <c r="R310" s="440">
        <f t="shared" si="830"/>
        <v>29546.400000000001</v>
      </c>
      <c r="S310" s="279">
        <f t="shared" si="821"/>
        <v>29546.400000000001</v>
      </c>
      <c r="T310" s="440">
        <f t="shared" si="831"/>
        <v>29526.400000000001</v>
      </c>
      <c r="U310" s="279">
        <f t="shared" si="822"/>
        <v>29526.400000000001</v>
      </c>
      <c r="V310" s="440">
        <f t="shared" si="832"/>
        <v>29506.400000000001</v>
      </c>
      <c r="W310" s="279">
        <f t="shared" si="823"/>
        <v>29506.400000000001</v>
      </c>
      <c r="X310" s="684"/>
      <c r="Y310" s="685"/>
      <c r="Z310" s="685"/>
      <c r="AA310" s="686"/>
      <c r="AB310" s="189">
        <v>1056</v>
      </c>
      <c r="AC310" s="63"/>
    </row>
    <row r="311" spans="1:34" ht="12.6" customHeight="1" x14ac:dyDescent="0.2">
      <c r="A311" s="18"/>
      <c r="B311" s="690" t="s">
        <v>584</v>
      </c>
      <c r="C311" s="691"/>
      <c r="D311" s="691"/>
      <c r="E311" s="691"/>
      <c r="F311" s="319">
        <v>19700</v>
      </c>
      <c r="G311" s="278">
        <f>+F311*$X$1</f>
        <v>19700</v>
      </c>
      <c r="H311" s="70">
        <f t="shared" si="825"/>
        <v>20300</v>
      </c>
      <c r="I311" s="278">
        <f t="shared" si="808"/>
        <v>20300</v>
      </c>
      <c r="J311" s="641">
        <f t="shared" si="826"/>
        <v>19960</v>
      </c>
      <c r="K311" s="278">
        <f t="shared" si="809"/>
        <v>19960</v>
      </c>
      <c r="L311" s="641">
        <f t="shared" si="827"/>
        <v>19920</v>
      </c>
      <c r="M311" s="278">
        <f t="shared" ref="M311:M312" si="836">+L311*$X$1</f>
        <v>19920</v>
      </c>
      <c r="N311" s="641">
        <f t="shared" si="828"/>
        <v>19880</v>
      </c>
      <c r="O311" s="278">
        <f t="shared" ref="O311:O312" si="837">+N311*$X$1</f>
        <v>19880</v>
      </c>
      <c r="P311" s="641">
        <f t="shared" si="829"/>
        <v>19850</v>
      </c>
      <c r="Q311" s="278">
        <f t="shared" ref="Q311:Q312" si="838">+P311*$X$1</f>
        <v>19850</v>
      </c>
      <c r="R311" s="641">
        <f t="shared" si="830"/>
        <v>19820</v>
      </c>
      <c r="S311" s="278">
        <f t="shared" ref="S311:S312" si="839">+R311*$X$1</f>
        <v>19820</v>
      </c>
      <c r="T311" s="641">
        <f t="shared" si="831"/>
        <v>19800</v>
      </c>
      <c r="U311" s="278">
        <f t="shared" ref="U311:U312" si="840">+T311*$X$1</f>
        <v>19800</v>
      </c>
      <c r="V311" s="641">
        <f t="shared" si="832"/>
        <v>19780</v>
      </c>
      <c r="W311" s="278">
        <f t="shared" ref="W311:W312" si="841">+V311*$X$1</f>
        <v>19780</v>
      </c>
      <c r="X311" s="684"/>
      <c r="Y311" s="685"/>
      <c r="Z311" s="685"/>
      <c r="AA311" s="686"/>
      <c r="AB311" s="189">
        <v>1057</v>
      </c>
    </row>
    <row r="312" spans="1:34" ht="12.6" customHeight="1" x14ac:dyDescent="0.2">
      <c r="A312" s="18"/>
      <c r="B312" s="760" t="s">
        <v>979</v>
      </c>
      <c r="C312" s="995"/>
      <c r="D312" s="995"/>
      <c r="E312" s="996"/>
      <c r="F312" s="365">
        <f>12.12*X2</f>
        <v>13307.759999999998</v>
      </c>
      <c r="G312" s="279">
        <f t="shared" ref="G312" si="842">+F312*$X$1</f>
        <v>13307.759999999998</v>
      </c>
      <c r="H312" s="87">
        <f t="shared" ref="H312" si="843">F312+600</f>
        <v>13907.759999999998</v>
      </c>
      <c r="I312" s="279">
        <f t="shared" ref="I312" si="844">+H312*$X$1</f>
        <v>13907.759999999998</v>
      </c>
      <c r="J312" s="440">
        <f t="shared" ref="J312" si="845">F312+260</f>
        <v>13567.759999999998</v>
      </c>
      <c r="K312" s="279">
        <f t="shared" ref="K312" si="846">+J312*$X$1</f>
        <v>13567.759999999998</v>
      </c>
      <c r="L312" s="440">
        <f t="shared" ref="L312" si="847">F312+220</f>
        <v>13527.759999999998</v>
      </c>
      <c r="M312" s="279">
        <f t="shared" si="836"/>
        <v>13527.759999999998</v>
      </c>
      <c r="N312" s="440">
        <f t="shared" ref="N312" si="848">F312+180</f>
        <v>13487.759999999998</v>
      </c>
      <c r="O312" s="279">
        <f t="shared" si="837"/>
        <v>13487.759999999998</v>
      </c>
      <c r="P312" s="440">
        <f t="shared" ref="P312" si="849">F312+150</f>
        <v>13457.759999999998</v>
      </c>
      <c r="Q312" s="279">
        <f t="shared" si="838"/>
        <v>13457.759999999998</v>
      </c>
      <c r="R312" s="440">
        <f t="shared" ref="R312" si="850">F312+120</f>
        <v>13427.759999999998</v>
      </c>
      <c r="S312" s="279">
        <f t="shared" si="839"/>
        <v>13427.759999999998</v>
      </c>
      <c r="T312" s="440">
        <f t="shared" ref="T312" si="851">F312+100</f>
        <v>13407.759999999998</v>
      </c>
      <c r="U312" s="279">
        <f t="shared" si="840"/>
        <v>13407.759999999998</v>
      </c>
      <c r="V312" s="440">
        <f t="shared" ref="V312" si="852">F312+80</f>
        <v>13387.759999999998</v>
      </c>
      <c r="W312" s="279">
        <f t="shared" si="841"/>
        <v>13387.759999999998</v>
      </c>
      <c r="X312" s="684"/>
      <c r="Y312" s="685"/>
      <c r="Z312" s="685"/>
      <c r="AA312" s="686"/>
      <c r="AB312" s="189">
        <v>1059</v>
      </c>
      <c r="AC312" s="63"/>
    </row>
    <row r="313" spans="1:34" ht="12.6" customHeight="1" x14ac:dyDescent="0.2">
      <c r="A313" s="18"/>
      <c r="B313" s="690" t="s">
        <v>414</v>
      </c>
      <c r="C313" s="691"/>
      <c r="D313" s="691"/>
      <c r="E313" s="691"/>
      <c r="F313" s="369">
        <f>13.79*X2</f>
        <v>15141.419999999998</v>
      </c>
      <c r="G313" s="295">
        <f t="shared" ref="G313" si="853">+F313*$X$1</f>
        <v>15141.419999999998</v>
      </c>
      <c r="H313" s="70">
        <f t="shared" si="825"/>
        <v>15741.419999999998</v>
      </c>
      <c r="I313" s="278">
        <f t="shared" si="808"/>
        <v>15741.419999999998</v>
      </c>
      <c r="J313" s="641">
        <f t="shared" si="826"/>
        <v>15401.419999999998</v>
      </c>
      <c r="K313" s="278">
        <f t="shared" si="809"/>
        <v>15401.419999999998</v>
      </c>
      <c r="L313" s="641">
        <f t="shared" si="827"/>
        <v>15361.419999999998</v>
      </c>
      <c r="M313" s="278">
        <f t="shared" si="818"/>
        <v>15361.419999999998</v>
      </c>
      <c r="N313" s="641">
        <f t="shared" si="828"/>
        <v>15321.419999999998</v>
      </c>
      <c r="O313" s="278">
        <f t="shared" si="819"/>
        <v>15321.419999999998</v>
      </c>
      <c r="P313" s="641">
        <f t="shared" si="829"/>
        <v>15291.419999999998</v>
      </c>
      <c r="Q313" s="278">
        <f t="shared" si="820"/>
        <v>15291.419999999998</v>
      </c>
      <c r="R313" s="641">
        <f t="shared" si="830"/>
        <v>15261.419999999998</v>
      </c>
      <c r="S313" s="278">
        <f t="shared" si="821"/>
        <v>15261.419999999998</v>
      </c>
      <c r="T313" s="641">
        <f t="shared" si="831"/>
        <v>15241.419999999998</v>
      </c>
      <c r="U313" s="278">
        <f t="shared" si="822"/>
        <v>15241.419999999998</v>
      </c>
      <c r="V313" s="641">
        <f t="shared" si="832"/>
        <v>15221.419999999998</v>
      </c>
      <c r="W313" s="278">
        <f t="shared" si="823"/>
        <v>15221.419999999998</v>
      </c>
      <c r="X313" s="684"/>
      <c r="Y313" s="685"/>
      <c r="Z313" s="685"/>
      <c r="AA313" s="686"/>
      <c r="AB313" s="189">
        <v>1064</v>
      </c>
      <c r="AC313" s="63"/>
    </row>
    <row r="314" spans="1:34" ht="12.6" customHeight="1" x14ac:dyDescent="0.2">
      <c r="A314" s="18"/>
      <c r="B314" s="760" t="s">
        <v>917</v>
      </c>
      <c r="C314" s="761"/>
      <c r="D314" s="761"/>
      <c r="E314" s="762"/>
      <c r="F314" s="365">
        <f>8.93*X2</f>
        <v>9805.14</v>
      </c>
      <c r="G314" s="279">
        <f>+F314*$X$1</f>
        <v>9805.14</v>
      </c>
      <c r="H314" s="440">
        <f t="shared" ref="H314" si="854">F314+600</f>
        <v>10405.14</v>
      </c>
      <c r="I314" s="279">
        <f t="shared" ref="I314" si="855">+H314*$X$1</f>
        <v>10405.14</v>
      </c>
      <c r="J314" s="440">
        <f t="shared" ref="J314" si="856">F314+260</f>
        <v>10065.14</v>
      </c>
      <c r="K314" s="279">
        <f t="shared" ref="K314" si="857">+J314*$X$1</f>
        <v>10065.14</v>
      </c>
      <c r="L314" s="440">
        <f t="shared" ref="L314" si="858">F314+230</f>
        <v>10035.14</v>
      </c>
      <c r="M314" s="279">
        <f t="shared" si="818"/>
        <v>10035.14</v>
      </c>
      <c r="N314" s="440">
        <f t="shared" ref="N314" si="859">F314+200</f>
        <v>10005.14</v>
      </c>
      <c r="O314" s="279">
        <f t="shared" si="819"/>
        <v>10005.14</v>
      </c>
      <c r="P314" s="440">
        <f t="shared" ref="P314" si="860">F314+170</f>
        <v>9975.14</v>
      </c>
      <c r="Q314" s="279">
        <f t="shared" si="820"/>
        <v>9975.14</v>
      </c>
      <c r="R314" s="440">
        <f t="shared" ref="R314" si="861">F314+150</f>
        <v>9955.14</v>
      </c>
      <c r="S314" s="279">
        <f t="shared" si="821"/>
        <v>9955.14</v>
      </c>
      <c r="T314" s="99">
        <f t="shared" ref="T314" si="862">F314+130</f>
        <v>9935.14</v>
      </c>
      <c r="U314" s="294">
        <f t="shared" si="822"/>
        <v>9935.14</v>
      </c>
      <c r="V314" s="99">
        <f t="shared" ref="V314" si="863">F314+110</f>
        <v>9915.14</v>
      </c>
      <c r="W314" s="279">
        <f t="shared" si="823"/>
        <v>9915.14</v>
      </c>
      <c r="X314" s="535"/>
      <c r="Y314" s="541"/>
      <c r="Z314" s="541"/>
      <c r="AA314" s="536"/>
      <c r="AB314" s="189">
        <v>1066</v>
      </c>
    </row>
    <row r="315" spans="1:34" ht="12.6" customHeight="1" x14ac:dyDescent="0.2">
      <c r="A315" s="18"/>
      <c r="B315" s="733" t="s">
        <v>211</v>
      </c>
      <c r="C315" s="734"/>
      <c r="D315" s="734"/>
      <c r="E315" s="735"/>
      <c r="F315" s="364">
        <f>12.16*X2</f>
        <v>13351.68</v>
      </c>
      <c r="G315" s="278">
        <f>+F315*$X$1</f>
        <v>13351.68</v>
      </c>
      <c r="H315" s="639">
        <f t="shared" ref="H315" si="864">F315+600</f>
        <v>13951.68</v>
      </c>
      <c r="I315" s="278">
        <f t="shared" ref="I315" si="865">+H315*$X$1</f>
        <v>13951.68</v>
      </c>
      <c r="J315" s="639">
        <f t="shared" ref="J315" si="866">F315+260</f>
        <v>13611.68</v>
      </c>
      <c r="K315" s="278">
        <f t="shared" ref="K315" si="867">+J315*$X$1</f>
        <v>13611.68</v>
      </c>
      <c r="L315" s="639">
        <f t="shared" ref="L315" si="868">F315+230</f>
        <v>13581.68</v>
      </c>
      <c r="M315" s="278">
        <f>+L315*$X$1</f>
        <v>13581.68</v>
      </c>
      <c r="N315" s="639">
        <f t="shared" ref="N315" si="869">F315+200</f>
        <v>13551.68</v>
      </c>
      <c r="O315" s="278">
        <f>+N315*$X$1</f>
        <v>13551.68</v>
      </c>
      <c r="P315" s="639">
        <f t="shared" ref="P315" si="870">F315+170</f>
        <v>13521.68</v>
      </c>
      <c r="Q315" s="278">
        <f>+P315*$X$1</f>
        <v>13521.68</v>
      </c>
      <c r="R315" s="639">
        <f t="shared" ref="R315" si="871">F315+150</f>
        <v>13501.68</v>
      </c>
      <c r="S315" s="278">
        <f>+R315*$X$1</f>
        <v>13501.68</v>
      </c>
      <c r="T315" s="100">
        <f t="shared" ref="T315" si="872">F315+130</f>
        <v>13481.68</v>
      </c>
      <c r="U315" s="251">
        <f>+T315*$X$1</f>
        <v>13481.68</v>
      </c>
      <c r="V315" s="100">
        <f t="shared" ref="V315" si="873">F315+110</f>
        <v>13461.68</v>
      </c>
      <c r="W315" s="278">
        <f>+V315*$X$1</f>
        <v>13461.68</v>
      </c>
      <c r="X315" s="174"/>
      <c r="Y315" s="177"/>
      <c r="Z315" s="177"/>
      <c r="AA315" s="176"/>
      <c r="AB315" s="189">
        <v>1075</v>
      </c>
    </row>
    <row r="316" spans="1:34" ht="12.75" customHeight="1" x14ac:dyDescent="0.2">
      <c r="A316" s="18"/>
      <c r="B316" s="3"/>
      <c r="C316" s="3"/>
      <c r="D316" s="3"/>
      <c r="E316" s="3"/>
      <c r="F316" s="4"/>
      <c r="G316" s="4"/>
      <c r="H316" s="24"/>
      <c r="I316" s="24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4" ht="12.75" customHeight="1" x14ac:dyDescent="0.2">
      <c r="A317" s="18"/>
      <c r="B317" s="3"/>
      <c r="C317" s="3"/>
      <c r="D317" s="3"/>
      <c r="E317" s="3"/>
      <c r="F317" s="4"/>
      <c r="G317" s="4"/>
      <c r="H317" s="24"/>
      <c r="I317" s="24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4" ht="12.75" customHeight="1" x14ac:dyDescent="0.2">
      <c r="A318" s="18"/>
      <c r="B318" s="64"/>
      <c r="C318" s="64"/>
      <c r="D318" s="64"/>
      <c r="E318" s="64"/>
      <c r="F318" s="4"/>
      <c r="G318" s="4"/>
      <c r="H318" s="24"/>
      <c r="I318" s="24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7"/>
      <c r="W318" s="7"/>
    </row>
    <row r="319" spans="1:34" ht="14.25" customHeight="1" x14ac:dyDescent="0.2">
      <c r="A319" s="18"/>
      <c r="B319" s="654" t="s">
        <v>11</v>
      </c>
      <c r="C319" s="925" t="s">
        <v>12</v>
      </c>
      <c r="D319" s="926"/>
      <c r="E319" s="926"/>
      <c r="F319" s="764" t="s">
        <v>13</v>
      </c>
      <c r="G319" s="764" t="s">
        <v>13</v>
      </c>
      <c r="H319" s="657" t="s">
        <v>790</v>
      </c>
      <c r="I319" s="657"/>
      <c r="J319" s="658"/>
      <c r="K319" s="658"/>
      <c r="L319" s="658"/>
      <c r="M319" s="658"/>
      <c r="N319" s="658"/>
      <c r="O319" s="658"/>
      <c r="P319" s="658"/>
      <c r="Q319" s="658"/>
      <c r="R319" s="658"/>
      <c r="S319" s="658"/>
      <c r="T319" s="658"/>
      <c r="U319" s="658"/>
      <c r="V319" s="658"/>
      <c r="W319" s="658"/>
      <c r="X319" s="678" t="s">
        <v>14</v>
      </c>
      <c r="Y319" s="679"/>
      <c r="Z319" s="679"/>
      <c r="AA319" s="680"/>
      <c r="AB319" s="676" t="s">
        <v>15</v>
      </c>
      <c r="AF319" s="674" t="s">
        <v>3</v>
      </c>
      <c r="AG319" s="675"/>
      <c r="AH319" s="675"/>
    </row>
    <row r="320" spans="1:34" ht="11.25" customHeight="1" x14ac:dyDescent="0.2">
      <c r="A320" s="18"/>
      <c r="B320" s="654"/>
      <c r="C320" s="926"/>
      <c r="D320" s="926"/>
      <c r="E320" s="926"/>
      <c r="F320" s="765"/>
      <c r="G320" s="765"/>
      <c r="H320" s="459"/>
      <c r="I320" s="451" t="s">
        <v>285</v>
      </c>
      <c r="J320" s="453"/>
      <c r="K320" s="451" t="s">
        <v>17</v>
      </c>
      <c r="L320" s="454"/>
      <c r="M320" s="454" t="s">
        <v>18</v>
      </c>
      <c r="N320" s="454"/>
      <c r="O320" s="451" t="s">
        <v>19</v>
      </c>
      <c r="P320" s="454"/>
      <c r="Q320" s="454" t="s">
        <v>286</v>
      </c>
      <c r="R320" s="454"/>
      <c r="S320" s="454" t="s">
        <v>20</v>
      </c>
      <c r="T320" s="454"/>
      <c r="U320" s="454" t="s">
        <v>21</v>
      </c>
      <c r="V320" s="454"/>
      <c r="W320" s="454" t="s">
        <v>22</v>
      </c>
      <c r="X320" s="681"/>
      <c r="Y320" s="682"/>
      <c r="Z320" s="682"/>
      <c r="AA320" s="683"/>
      <c r="AB320" s="677"/>
    </row>
    <row r="321" spans="1:34" ht="12.6" customHeight="1" x14ac:dyDescent="0.2">
      <c r="A321" s="18"/>
      <c r="B321" s="751" t="s">
        <v>373</v>
      </c>
      <c r="C321" s="1016"/>
      <c r="D321" s="1016"/>
      <c r="E321" s="1016"/>
      <c r="F321" s="521">
        <f>8.1*X2</f>
        <v>8893.7999999999993</v>
      </c>
      <c r="G321" s="510">
        <f t="shared" ref="G321" si="874">+F321*$X$1</f>
        <v>8893.7999999999993</v>
      </c>
      <c r="H321" s="513">
        <f>F321+650</f>
        <v>9543.7999999999993</v>
      </c>
      <c r="I321" s="511">
        <f>+H321*$X$1</f>
        <v>9543.7999999999993</v>
      </c>
      <c r="J321" s="637">
        <f>F321+280</f>
        <v>9173.7999999999993</v>
      </c>
      <c r="K321" s="511">
        <f>+J321*$X$1</f>
        <v>9173.7999999999993</v>
      </c>
      <c r="L321" s="637">
        <f>F321+230</f>
        <v>9123.7999999999993</v>
      </c>
      <c r="M321" s="511">
        <f t="shared" ref="M321" si="875">+L321*$X$1</f>
        <v>9123.7999999999993</v>
      </c>
      <c r="N321" s="637">
        <f>F321+190</f>
        <v>9083.7999999999993</v>
      </c>
      <c r="O321" s="511">
        <f t="shared" ref="O321" si="876">+N321*$X$1</f>
        <v>9083.7999999999993</v>
      </c>
      <c r="P321" s="637">
        <f>F321+160</f>
        <v>9053.7999999999993</v>
      </c>
      <c r="Q321" s="511">
        <f t="shared" ref="Q321" si="877">+P321*$X$1</f>
        <v>9053.7999999999993</v>
      </c>
      <c r="R321" s="637">
        <f>F321+130</f>
        <v>9023.7999999999993</v>
      </c>
      <c r="S321" s="511">
        <f t="shared" ref="S321" si="878">+R321*$X$1</f>
        <v>9023.7999999999993</v>
      </c>
      <c r="T321" s="637">
        <f>F321+110</f>
        <v>9003.7999999999993</v>
      </c>
      <c r="U321" s="511">
        <f t="shared" ref="U321" si="879">+T321*$X$1</f>
        <v>9003.7999999999993</v>
      </c>
      <c r="V321" s="637">
        <f>F321+90</f>
        <v>8983.7999999999993</v>
      </c>
      <c r="W321" s="511">
        <f t="shared" ref="W321" si="880">+V321*$X$1</f>
        <v>8983.7999999999993</v>
      </c>
      <c r="X321" s="684"/>
      <c r="Y321" s="685"/>
      <c r="Z321" s="685"/>
      <c r="AA321" s="686"/>
      <c r="AB321" s="189">
        <v>1078</v>
      </c>
    </row>
    <row r="322" spans="1:34" ht="12.6" customHeight="1" x14ac:dyDescent="0.2">
      <c r="A322" s="18"/>
      <c r="B322" s="695" t="s">
        <v>375</v>
      </c>
      <c r="C322" s="805"/>
      <c r="D322" s="805"/>
      <c r="E322" s="805"/>
      <c r="F322" s="369">
        <f>6.87*X2</f>
        <v>7543.26</v>
      </c>
      <c r="G322" s="295">
        <f t="shared" ref="G322" si="881">+F322*$X$1</f>
        <v>7543.26</v>
      </c>
      <c r="H322" s="70">
        <f>F322+650</f>
        <v>8193.26</v>
      </c>
      <c r="I322" s="278">
        <f>+H322*$X$1</f>
        <v>8193.26</v>
      </c>
      <c r="J322" s="607">
        <f>F322+280</f>
        <v>7823.26</v>
      </c>
      <c r="K322" s="278">
        <f>+J322*$X$1</f>
        <v>7823.26</v>
      </c>
      <c r="L322" s="607">
        <f>F322+230</f>
        <v>7773.26</v>
      </c>
      <c r="M322" s="278">
        <f t="shared" ref="M322" si="882">+L322*$X$1</f>
        <v>7773.26</v>
      </c>
      <c r="N322" s="607">
        <f>F322+190</f>
        <v>7733.26</v>
      </c>
      <c r="O322" s="278">
        <f t="shared" ref="O322" si="883">+N322*$X$1</f>
        <v>7733.26</v>
      </c>
      <c r="P322" s="607">
        <f>F322+160</f>
        <v>7703.26</v>
      </c>
      <c r="Q322" s="278">
        <f t="shared" ref="Q322" si="884">+P322*$X$1</f>
        <v>7703.26</v>
      </c>
      <c r="R322" s="607">
        <f>F322+130</f>
        <v>7673.26</v>
      </c>
      <c r="S322" s="278">
        <f t="shared" ref="S322" si="885">+R322*$X$1</f>
        <v>7673.26</v>
      </c>
      <c r="T322" s="607">
        <f>F322+110</f>
        <v>7653.26</v>
      </c>
      <c r="U322" s="278">
        <f t="shared" ref="U322" si="886">+T322*$X$1</f>
        <v>7653.26</v>
      </c>
      <c r="V322" s="607">
        <f>F322+90</f>
        <v>7633.26</v>
      </c>
      <c r="W322" s="278">
        <f t="shared" ref="W322" si="887">+V322*$X$1</f>
        <v>7633.26</v>
      </c>
      <c r="X322" s="685"/>
      <c r="Y322" s="685"/>
      <c r="Z322" s="685"/>
      <c r="AA322" s="686"/>
      <c r="AB322" s="189">
        <v>1079</v>
      </c>
    </row>
    <row r="323" spans="1:34" ht="12.6" customHeight="1" x14ac:dyDescent="0.2">
      <c r="A323" s="18"/>
      <c r="B323" s="672" t="s">
        <v>501</v>
      </c>
      <c r="C323" s="673"/>
      <c r="D323" s="673"/>
      <c r="E323" s="673"/>
      <c r="F323" s="318">
        <v>17146</v>
      </c>
      <c r="G323" s="279">
        <f>+F323*$X$1</f>
        <v>17146</v>
      </c>
      <c r="H323" s="87">
        <f>F323+600</f>
        <v>17746</v>
      </c>
      <c r="I323" s="279">
        <f>+H323*$X$1</f>
        <v>17746</v>
      </c>
      <c r="J323" s="440">
        <f>F323+260</f>
        <v>17406</v>
      </c>
      <c r="K323" s="279">
        <f>+J323*$X$1</f>
        <v>17406</v>
      </c>
      <c r="L323" s="440">
        <f>F323+220</f>
        <v>17366</v>
      </c>
      <c r="M323" s="279">
        <f t="shared" ref="M323" si="888">+L323*$X$1</f>
        <v>17366</v>
      </c>
      <c r="N323" s="440">
        <f>F323+180</f>
        <v>17326</v>
      </c>
      <c r="O323" s="279">
        <f t="shared" ref="O323" si="889">+N323*$X$1</f>
        <v>17326</v>
      </c>
      <c r="P323" s="440">
        <f>F323+150</f>
        <v>17296</v>
      </c>
      <c r="Q323" s="279">
        <f t="shared" ref="Q323" si="890">+P323*$X$1</f>
        <v>17296</v>
      </c>
      <c r="R323" s="440">
        <f>F323+120</f>
        <v>17266</v>
      </c>
      <c r="S323" s="279">
        <f t="shared" ref="S323" si="891">+R323*$X$1</f>
        <v>17266</v>
      </c>
      <c r="T323" s="440">
        <f>F323+100</f>
        <v>17246</v>
      </c>
      <c r="U323" s="279">
        <f t="shared" ref="U323" si="892">+T323*$X$1</f>
        <v>17246</v>
      </c>
      <c r="V323" s="440">
        <f>F323+80</f>
        <v>17226</v>
      </c>
      <c r="W323" s="279">
        <f t="shared" ref="W323" si="893">+V323*$X$1</f>
        <v>17226</v>
      </c>
      <c r="X323" s="685"/>
      <c r="Y323" s="685"/>
      <c r="Z323" s="685"/>
      <c r="AA323" s="686"/>
      <c r="AB323" s="189">
        <v>1080</v>
      </c>
      <c r="AC323" s="63"/>
    </row>
    <row r="324" spans="1:34" ht="12.6" customHeight="1" x14ac:dyDescent="0.2">
      <c r="A324" s="18"/>
      <c r="B324" s="690" t="s">
        <v>502</v>
      </c>
      <c r="C324" s="691"/>
      <c r="D324" s="691"/>
      <c r="E324" s="691"/>
      <c r="F324" s="319">
        <v>18505</v>
      </c>
      <c r="G324" s="278">
        <f>+F324*$X$1</f>
        <v>18505</v>
      </c>
      <c r="H324" s="70">
        <f>F324+600</f>
        <v>19105</v>
      </c>
      <c r="I324" s="278">
        <f>+H324*$X$1</f>
        <v>19105</v>
      </c>
      <c r="J324" s="607">
        <f>F324+260</f>
        <v>18765</v>
      </c>
      <c r="K324" s="278">
        <f>+J324*$X$1</f>
        <v>18765</v>
      </c>
      <c r="L324" s="607">
        <f>F324+220</f>
        <v>18725</v>
      </c>
      <c r="M324" s="278">
        <f t="shared" ref="M324" si="894">+L324*$X$1</f>
        <v>18725</v>
      </c>
      <c r="N324" s="607">
        <f>F324+180</f>
        <v>18685</v>
      </c>
      <c r="O324" s="278">
        <f t="shared" ref="O324" si="895">+N324*$X$1</f>
        <v>18685</v>
      </c>
      <c r="P324" s="607">
        <f>F324+150</f>
        <v>18655</v>
      </c>
      <c r="Q324" s="278">
        <f t="shared" ref="Q324" si="896">+P324*$X$1</f>
        <v>18655</v>
      </c>
      <c r="R324" s="607">
        <f>F324+120</f>
        <v>18625</v>
      </c>
      <c r="S324" s="278">
        <f t="shared" ref="S324" si="897">+R324*$X$1</f>
        <v>18625</v>
      </c>
      <c r="T324" s="607">
        <f>F324+100</f>
        <v>18605</v>
      </c>
      <c r="U324" s="278">
        <f t="shared" ref="U324" si="898">+T324*$X$1</f>
        <v>18605</v>
      </c>
      <c r="V324" s="607">
        <f>F324+80</f>
        <v>18585</v>
      </c>
      <c r="W324" s="278">
        <f t="shared" ref="W324" si="899">+V324*$X$1</f>
        <v>18585</v>
      </c>
      <c r="X324" s="685"/>
      <c r="Y324" s="685"/>
      <c r="Z324" s="685"/>
      <c r="AA324" s="686"/>
      <c r="AB324" s="189">
        <v>1081</v>
      </c>
      <c r="AC324" s="63"/>
    </row>
    <row r="325" spans="1:34" ht="12.6" customHeight="1" x14ac:dyDescent="0.2">
      <c r="A325" s="18"/>
      <c r="B325" s="672" t="s">
        <v>418</v>
      </c>
      <c r="C325" s="673"/>
      <c r="D325" s="673"/>
      <c r="E325" s="673"/>
      <c r="F325" s="318">
        <v>15126</v>
      </c>
      <c r="G325" s="279">
        <f>+F325*$X$1</f>
        <v>15126</v>
      </c>
      <c r="H325" s="87">
        <f>F325+600</f>
        <v>15726</v>
      </c>
      <c r="I325" s="279">
        <f>+H325*$X$1</f>
        <v>15726</v>
      </c>
      <c r="J325" s="440">
        <f>F325+260</f>
        <v>15386</v>
      </c>
      <c r="K325" s="279">
        <f>+J325*$X$1</f>
        <v>15386</v>
      </c>
      <c r="L325" s="440">
        <f>F325+220</f>
        <v>15346</v>
      </c>
      <c r="M325" s="279">
        <f t="shared" ref="M325:M326" si="900">+L325*$X$1</f>
        <v>15346</v>
      </c>
      <c r="N325" s="440">
        <f>F325+180</f>
        <v>15306</v>
      </c>
      <c r="O325" s="279">
        <f t="shared" ref="O325:O326" si="901">+N325*$X$1</f>
        <v>15306</v>
      </c>
      <c r="P325" s="440">
        <f>F325+150</f>
        <v>15276</v>
      </c>
      <c r="Q325" s="279">
        <f t="shared" ref="Q325:Q326" si="902">+P325*$X$1</f>
        <v>15276</v>
      </c>
      <c r="R325" s="440">
        <f>F325+120</f>
        <v>15246</v>
      </c>
      <c r="S325" s="279">
        <f t="shared" ref="S325:S326" si="903">+R325*$X$1</f>
        <v>15246</v>
      </c>
      <c r="T325" s="440">
        <f>F325+100</f>
        <v>15226</v>
      </c>
      <c r="U325" s="279">
        <f t="shared" ref="U325:U326" si="904">+T325*$X$1</f>
        <v>15226</v>
      </c>
      <c r="V325" s="440">
        <f>F325+80</f>
        <v>15206</v>
      </c>
      <c r="W325" s="279">
        <f t="shared" ref="W325:W326" si="905">+V325*$X$1</f>
        <v>15206</v>
      </c>
      <c r="X325" s="685"/>
      <c r="Y325" s="685"/>
      <c r="Z325" s="685"/>
      <c r="AA325" s="686"/>
      <c r="AB325" s="189">
        <v>1083</v>
      </c>
      <c r="AC325" s="63"/>
    </row>
    <row r="326" spans="1:34" ht="12.6" customHeight="1" x14ac:dyDescent="0.2">
      <c r="A326" s="18"/>
      <c r="B326" s="695" t="s">
        <v>801</v>
      </c>
      <c r="C326" s="805"/>
      <c r="D326" s="805"/>
      <c r="E326" s="805"/>
      <c r="F326" s="364">
        <f>2.32*X2</f>
        <v>2547.3599999999997</v>
      </c>
      <c r="G326" s="278">
        <f t="shared" ref="G326" si="906">+F326*$X$1</f>
        <v>2547.3599999999997</v>
      </c>
      <c r="H326" s="607">
        <f>F326+600</f>
        <v>3147.3599999999997</v>
      </c>
      <c r="I326" s="278">
        <f t="shared" ref="I326" si="907">+H326*$X$1</f>
        <v>3147.3599999999997</v>
      </c>
      <c r="J326" s="70">
        <f>F326+220</f>
        <v>2767.3599999999997</v>
      </c>
      <c r="K326" s="278">
        <f t="shared" ref="K326" si="908">+J326*$X$1</f>
        <v>2767.3599999999997</v>
      </c>
      <c r="L326" s="607">
        <f t="shared" ref="L326" si="909">F326+150</f>
        <v>2697.3599999999997</v>
      </c>
      <c r="M326" s="278">
        <f t="shared" si="900"/>
        <v>2697.3599999999997</v>
      </c>
      <c r="N326" s="607">
        <f t="shared" ref="N326" si="910">F326+110</f>
        <v>2657.3599999999997</v>
      </c>
      <c r="O326" s="278">
        <f t="shared" si="901"/>
        <v>2657.3599999999997</v>
      </c>
      <c r="P326" s="607">
        <f t="shared" ref="P326" si="911">F326+100</f>
        <v>2647.3599999999997</v>
      </c>
      <c r="Q326" s="278">
        <f t="shared" si="902"/>
        <v>2647.3599999999997</v>
      </c>
      <c r="R326" s="607">
        <f t="shared" ref="R326" si="912">F326+80</f>
        <v>2627.3599999999997</v>
      </c>
      <c r="S326" s="278">
        <f t="shared" si="903"/>
        <v>2627.3599999999997</v>
      </c>
      <c r="T326" s="607">
        <f t="shared" ref="T326" si="913">F326+65</f>
        <v>2612.3599999999997</v>
      </c>
      <c r="U326" s="278">
        <f t="shared" si="904"/>
        <v>2612.3599999999997</v>
      </c>
      <c r="V326" s="607">
        <f t="shared" ref="V326" si="914">F326+56</f>
        <v>2603.3599999999997</v>
      </c>
      <c r="W326" s="278">
        <f t="shared" si="905"/>
        <v>2603.3599999999997</v>
      </c>
      <c r="X326" s="824"/>
      <c r="Y326" s="974"/>
      <c r="Z326" s="974"/>
      <c r="AA326" s="975"/>
      <c r="AB326" s="385">
        <v>2130</v>
      </c>
      <c r="AC326" s="64"/>
    </row>
    <row r="327" spans="1:34" ht="12.6" customHeight="1" x14ac:dyDescent="0.2">
      <c r="A327" s="18"/>
      <c r="B327" s="659" t="s">
        <v>802</v>
      </c>
      <c r="C327" s="660"/>
      <c r="D327" s="660"/>
      <c r="E327" s="660"/>
      <c r="F327" s="365">
        <f>2.3*X2</f>
        <v>2525.3999999999996</v>
      </c>
      <c r="G327" s="279">
        <f t="shared" ref="G327" si="915">+F327*$X$1</f>
        <v>2525.3999999999996</v>
      </c>
      <c r="H327" s="440">
        <f>F327+600</f>
        <v>3125.3999999999996</v>
      </c>
      <c r="I327" s="279">
        <f t="shared" ref="I327" si="916">+H327*$X$1</f>
        <v>3125.3999999999996</v>
      </c>
      <c r="J327" s="87">
        <f>F327+220</f>
        <v>2745.3999999999996</v>
      </c>
      <c r="K327" s="279">
        <f t="shared" ref="K327" si="917">+J327*$X$1</f>
        <v>2745.3999999999996</v>
      </c>
      <c r="L327" s="440">
        <f t="shared" ref="L327" si="918">F327+150</f>
        <v>2675.3999999999996</v>
      </c>
      <c r="M327" s="279">
        <f t="shared" ref="M327:M328" si="919">+L327*$X$1</f>
        <v>2675.3999999999996</v>
      </c>
      <c r="N327" s="440">
        <f t="shared" ref="N327" si="920">F327+110</f>
        <v>2635.3999999999996</v>
      </c>
      <c r="O327" s="279">
        <f t="shared" ref="O327:O328" si="921">+N327*$X$1</f>
        <v>2635.3999999999996</v>
      </c>
      <c r="P327" s="440">
        <f t="shared" ref="P327" si="922">F327+100</f>
        <v>2625.3999999999996</v>
      </c>
      <c r="Q327" s="279">
        <f t="shared" ref="Q327:Q328" si="923">+P327*$X$1</f>
        <v>2625.3999999999996</v>
      </c>
      <c r="R327" s="440">
        <f t="shared" ref="R327" si="924">F327+80</f>
        <v>2605.3999999999996</v>
      </c>
      <c r="S327" s="279">
        <f t="shared" ref="S327:S328" si="925">+R327*$X$1</f>
        <v>2605.3999999999996</v>
      </c>
      <c r="T327" s="440">
        <f t="shared" ref="T327" si="926">F327+65</f>
        <v>2590.3999999999996</v>
      </c>
      <c r="U327" s="279">
        <f t="shared" ref="U327:U328" si="927">+T327*$X$1</f>
        <v>2590.3999999999996</v>
      </c>
      <c r="V327" s="440">
        <f t="shared" ref="V327" si="928">F327+56</f>
        <v>2581.3999999999996</v>
      </c>
      <c r="W327" s="279">
        <f t="shared" ref="W327:W328" si="929">+V327*$X$1</f>
        <v>2581.3999999999996</v>
      </c>
      <c r="X327" s="824"/>
      <c r="Y327" s="974"/>
      <c r="Z327" s="974"/>
      <c r="AA327" s="975"/>
      <c r="AB327" s="385">
        <v>2131</v>
      </c>
      <c r="AC327" s="64"/>
    </row>
    <row r="328" spans="1:34" ht="12.6" customHeight="1" x14ac:dyDescent="0.2">
      <c r="A328" s="101"/>
      <c r="B328" s="690" t="s">
        <v>212</v>
      </c>
      <c r="C328" s="691"/>
      <c r="D328" s="691"/>
      <c r="E328" s="691"/>
      <c r="F328" s="364">
        <f>0.445*X2</f>
        <v>488.61</v>
      </c>
      <c r="G328" s="278">
        <f t="shared" ref="G328:G329" si="930">+F328*$X$1</f>
        <v>488.61</v>
      </c>
      <c r="H328" s="272"/>
      <c r="I328" s="330"/>
      <c r="J328" s="607"/>
      <c r="K328" s="278"/>
      <c r="L328" s="607">
        <f>F328+160</f>
        <v>648.61</v>
      </c>
      <c r="M328" s="278">
        <f t="shared" si="919"/>
        <v>648.61</v>
      </c>
      <c r="N328" s="607">
        <f>F328+100</f>
        <v>588.61</v>
      </c>
      <c r="O328" s="278">
        <f t="shared" si="921"/>
        <v>588.61</v>
      </c>
      <c r="P328" s="607">
        <f>F328+75</f>
        <v>563.61</v>
      </c>
      <c r="Q328" s="278">
        <f t="shared" si="923"/>
        <v>563.61</v>
      </c>
      <c r="R328" s="607">
        <f>F328+65</f>
        <v>553.61</v>
      </c>
      <c r="S328" s="278">
        <f t="shared" si="925"/>
        <v>553.61</v>
      </c>
      <c r="T328" s="100">
        <f>F328+50</f>
        <v>538.61</v>
      </c>
      <c r="U328" s="251">
        <f t="shared" si="927"/>
        <v>538.61</v>
      </c>
      <c r="V328" s="100">
        <f>F328+38</f>
        <v>526.61</v>
      </c>
      <c r="W328" s="251">
        <f t="shared" si="929"/>
        <v>526.61</v>
      </c>
      <c r="X328" s="130"/>
      <c r="Y328" s="128"/>
      <c r="Z328" s="128"/>
      <c r="AA328" s="128"/>
      <c r="AB328" s="385">
        <v>2145</v>
      </c>
      <c r="AC328" s="64"/>
    </row>
    <row r="329" spans="1:34" ht="12.6" customHeight="1" x14ac:dyDescent="0.25">
      <c r="A329" s="123"/>
      <c r="B329" s="672" t="s">
        <v>960</v>
      </c>
      <c r="C329" s="673"/>
      <c r="D329" s="673"/>
      <c r="E329" s="673"/>
      <c r="F329" s="365">
        <v>170</v>
      </c>
      <c r="G329" s="279">
        <f t="shared" si="930"/>
        <v>170</v>
      </c>
      <c r="H329" s="271"/>
      <c r="I329" s="331"/>
      <c r="J329" s="527"/>
      <c r="K329" s="279"/>
      <c r="L329" s="528"/>
      <c r="M329" s="279"/>
      <c r="N329" s="528"/>
      <c r="O329" s="529"/>
      <c r="P329" s="271"/>
      <c r="Q329" s="331"/>
      <c r="R329" s="528"/>
      <c r="S329" s="529"/>
      <c r="T329" s="528"/>
      <c r="U329" s="529"/>
      <c r="V329" s="528"/>
      <c r="W329" s="529"/>
      <c r="X329" s="128"/>
      <c r="Y329" s="128"/>
      <c r="Z329" s="128"/>
      <c r="AA329" s="128"/>
      <c r="AB329" s="189">
        <v>2147</v>
      </c>
    </row>
    <row r="330" spans="1:34" ht="12.6" customHeight="1" x14ac:dyDescent="0.2">
      <c r="A330" s="18"/>
      <c r="B330" s="690" t="s">
        <v>213</v>
      </c>
      <c r="C330" s="691"/>
      <c r="D330" s="691"/>
      <c r="E330" s="691"/>
      <c r="F330" s="364">
        <v>48</v>
      </c>
      <c r="G330" s="278">
        <f t="shared" ref="G330:G335" si="931">+F330*$X$1</f>
        <v>48</v>
      </c>
      <c r="H330" s="272"/>
      <c r="I330" s="330"/>
      <c r="J330" s="607">
        <f>F330+210</f>
        <v>258</v>
      </c>
      <c r="K330" s="278">
        <f t="shared" ref="K330" si="932">+J330*$X$1</f>
        <v>258</v>
      </c>
      <c r="L330" s="607">
        <f>F330+160</f>
        <v>208</v>
      </c>
      <c r="M330" s="278">
        <f t="shared" ref="M330" si="933">+L330*$X$1</f>
        <v>208</v>
      </c>
      <c r="N330" s="607">
        <f>F330+100</f>
        <v>148</v>
      </c>
      <c r="O330" s="278">
        <f t="shared" ref="O330" si="934">+N330*$X$1</f>
        <v>148</v>
      </c>
      <c r="P330" s="607">
        <f>F330+75</f>
        <v>123</v>
      </c>
      <c r="Q330" s="278">
        <f t="shared" ref="Q330" si="935">+P330*$X$1</f>
        <v>123</v>
      </c>
      <c r="R330" s="607">
        <f>F330+65</f>
        <v>113</v>
      </c>
      <c r="S330" s="278">
        <f t="shared" ref="S330" si="936">+R330*$X$1</f>
        <v>113</v>
      </c>
      <c r="T330" s="100">
        <f>F330+50</f>
        <v>98</v>
      </c>
      <c r="U330" s="251">
        <f t="shared" ref="U330" si="937">+T330*$X$1</f>
        <v>98</v>
      </c>
      <c r="V330" s="100">
        <f>F330+38</f>
        <v>86</v>
      </c>
      <c r="W330" s="251">
        <f t="shared" ref="W330" si="938">+V330*$X$1</f>
        <v>86</v>
      </c>
      <c r="X330" s="128"/>
      <c r="Y330" s="128"/>
      <c r="Z330" s="128"/>
      <c r="AA330" s="128"/>
      <c r="AB330" s="385">
        <v>2149</v>
      </c>
    </row>
    <row r="331" spans="1:34" ht="12.6" customHeight="1" x14ac:dyDescent="0.25">
      <c r="A331" s="123"/>
      <c r="B331" s="655" t="s">
        <v>896</v>
      </c>
      <c r="C331" s="656"/>
      <c r="D331" s="656"/>
      <c r="E331" s="656"/>
      <c r="F331" s="365">
        <f>1.41*X2</f>
        <v>1548.1799999999998</v>
      </c>
      <c r="G331" s="279">
        <f t="shared" si="931"/>
        <v>1548.1799999999998</v>
      </c>
      <c r="H331" s="271"/>
      <c r="I331" s="331"/>
      <c r="J331" s="527"/>
      <c r="K331" s="279"/>
      <c r="L331" s="528"/>
      <c r="M331" s="279"/>
      <c r="N331" s="528"/>
      <c r="O331" s="529"/>
      <c r="P331" s="271"/>
      <c r="Q331" s="331"/>
      <c r="R331" s="528"/>
      <c r="S331" s="529"/>
      <c r="T331" s="528"/>
      <c r="U331" s="529"/>
      <c r="V331" s="528"/>
      <c r="W331" s="529"/>
      <c r="X331" s="128"/>
      <c r="Y331" s="128"/>
      <c r="Z331" s="128"/>
      <c r="AA331" s="128"/>
      <c r="AB331" s="189">
        <v>2150</v>
      </c>
    </row>
    <row r="332" spans="1:34" ht="12.6" customHeight="1" x14ac:dyDescent="0.25">
      <c r="A332" s="123"/>
      <c r="B332" s="690" t="s">
        <v>214</v>
      </c>
      <c r="C332" s="691"/>
      <c r="D332" s="691"/>
      <c r="E332" s="691"/>
      <c r="F332" s="364">
        <f>0.86*X2</f>
        <v>944.28</v>
      </c>
      <c r="G332" s="278">
        <f t="shared" si="931"/>
        <v>944.28</v>
      </c>
      <c r="H332" s="272"/>
      <c r="I332" s="330"/>
      <c r="J332" s="593"/>
      <c r="K332" s="278"/>
      <c r="L332" s="594"/>
      <c r="M332" s="278"/>
      <c r="N332" s="594"/>
      <c r="O332" s="595"/>
      <c r="P332" s="272"/>
      <c r="Q332" s="330"/>
      <c r="R332" s="594"/>
      <c r="S332" s="595"/>
      <c r="T332" s="594"/>
      <c r="U332" s="595"/>
      <c r="V332" s="594"/>
      <c r="W332" s="595"/>
      <c r="X332" s="128"/>
      <c r="Y332" s="128"/>
      <c r="Z332" s="128"/>
      <c r="AA332" s="128"/>
      <c r="AB332" s="189">
        <v>2151</v>
      </c>
    </row>
    <row r="333" spans="1:34" ht="12.6" customHeight="1" x14ac:dyDescent="0.2">
      <c r="A333" s="18"/>
      <c r="B333" s="659" t="s">
        <v>215</v>
      </c>
      <c r="C333" s="727"/>
      <c r="D333" s="727"/>
      <c r="E333" s="727"/>
      <c r="F333" s="368">
        <f>0.6*X2</f>
        <v>658.8</v>
      </c>
      <c r="G333" s="308">
        <f t="shared" si="931"/>
        <v>658.8</v>
      </c>
      <c r="H333" s="552"/>
      <c r="I333" s="553"/>
      <c r="J333" s="99"/>
      <c r="K333" s="308"/>
      <c r="L333" s="440">
        <f t="shared" ref="L333:L348" si="939">F333+160</f>
        <v>818.8</v>
      </c>
      <c r="M333" s="279">
        <f t="shared" ref="M333" si="940">+L333*$X$1</f>
        <v>818.8</v>
      </c>
      <c r="N333" s="440">
        <f t="shared" ref="N333:N348" si="941">F333+100</f>
        <v>758.8</v>
      </c>
      <c r="O333" s="279">
        <f t="shared" ref="O333" si="942">+N333*$X$1</f>
        <v>758.8</v>
      </c>
      <c r="P333" s="440">
        <f t="shared" ref="P333:P339" si="943">F333+75</f>
        <v>733.8</v>
      </c>
      <c r="Q333" s="279">
        <f t="shared" ref="Q333" si="944">+P333*$X$1</f>
        <v>733.8</v>
      </c>
      <c r="R333" s="440">
        <f t="shared" ref="R333:R339" si="945">F333+65</f>
        <v>723.8</v>
      </c>
      <c r="S333" s="279">
        <f t="shared" ref="S333" si="946">+R333*$X$1</f>
        <v>723.8</v>
      </c>
      <c r="T333" s="99">
        <f t="shared" ref="T333:T339" si="947">F333+50</f>
        <v>708.8</v>
      </c>
      <c r="U333" s="294">
        <f t="shared" ref="U333" si="948">+T333*$X$1</f>
        <v>708.8</v>
      </c>
      <c r="V333" s="99">
        <f t="shared" ref="V333:V339" si="949">F333+38</f>
        <v>696.8</v>
      </c>
      <c r="W333" s="294">
        <f t="shared" ref="W333" si="950">+V333*$X$1</f>
        <v>696.8</v>
      </c>
      <c r="X333" s="128"/>
      <c r="Y333" s="128"/>
      <c r="Z333" s="128"/>
      <c r="AA333" s="128"/>
      <c r="AB333" s="399">
        <v>2153</v>
      </c>
      <c r="AC333" s="64"/>
    </row>
    <row r="334" spans="1:34" ht="12.6" customHeight="1" x14ac:dyDescent="0.2">
      <c r="A334" s="18"/>
      <c r="B334" s="690" t="s">
        <v>367</v>
      </c>
      <c r="C334" s="691"/>
      <c r="D334" s="691"/>
      <c r="E334" s="691"/>
      <c r="F334" s="364">
        <f>0.485*X2</f>
        <v>532.53</v>
      </c>
      <c r="G334" s="278">
        <f t="shared" si="931"/>
        <v>532.53</v>
      </c>
      <c r="H334" s="272"/>
      <c r="I334" s="330"/>
      <c r="J334" s="607"/>
      <c r="K334" s="278"/>
      <c r="L334" s="607">
        <f t="shared" si="939"/>
        <v>692.53</v>
      </c>
      <c r="M334" s="278">
        <f t="shared" ref="M334:M335" si="951">+L334*$X$1</f>
        <v>692.53</v>
      </c>
      <c r="N334" s="607">
        <f t="shared" si="941"/>
        <v>632.53</v>
      </c>
      <c r="O334" s="278">
        <f t="shared" ref="O334:O335" si="952">+N334*$X$1</f>
        <v>632.53</v>
      </c>
      <c r="P334" s="607">
        <f t="shared" si="943"/>
        <v>607.53</v>
      </c>
      <c r="Q334" s="278">
        <f t="shared" ref="Q334:Q335" si="953">+P334*$X$1</f>
        <v>607.53</v>
      </c>
      <c r="R334" s="607">
        <f t="shared" si="945"/>
        <v>597.53</v>
      </c>
      <c r="S334" s="278">
        <f t="shared" ref="S334:S335" si="954">+R334*$X$1</f>
        <v>597.53</v>
      </c>
      <c r="T334" s="100">
        <f t="shared" si="947"/>
        <v>582.53</v>
      </c>
      <c r="U334" s="251">
        <f t="shared" ref="U334:U335" si="955">+T334*$X$1</f>
        <v>582.53</v>
      </c>
      <c r="V334" s="100">
        <f t="shared" si="949"/>
        <v>570.53</v>
      </c>
      <c r="W334" s="251">
        <f t="shared" ref="W334:W335" si="956">+V334*$X$1</f>
        <v>570.53</v>
      </c>
      <c r="X334" s="128"/>
      <c r="Y334" s="135"/>
      <c r="Z334" s="135"/>
      <c r="AA334" s="135"/>
      <c r="AB334" s="398">
        <v>2154</v>
      </c>
      <c r="AC334" s="22"/>
      <c r="AD334" s="22"/>
    </row>
    <row r="335" spans="1:34" ht="12.6" customHeight="1" x14ac:dyDescent="0.2">
      <c r="A335" s="18"/>
      <c r="B335" s="672" t="s">
        <v>368</v>
      </c>
      <c r="C335" s="673"/>
      <c r="D335" s="673"/>
      <c r="E335" s="673"/>
      <c r="F335" s="365">
        <f>0.56*X2</f>
        <v>614.88000000000011</v>
      </c>
      <c r="G335" s="279">
        <f t="shared" si="931"/>
        <v>614.88000000000011</v>
      </c>
      <c r="H335" s="271"/>
      <c r="I335" s="331"/>
      <c r="J335" s="440"/>
      <c r="K335" s="279"/>
      <c r="L335" s="440">
        <f t="shared" si="939"/>
        <v>774.88000000000011</v>
      </c>
      <c r="M335" s="279">
        <f t="shared" si="951"/>
        <v>774.88000000000011</v>
      </c>
      <c r="N335" s="440">
        <f t="shared" si="941"/>
        <v>714.88000000000011</v>
      </c>
      <c r="O335" s="279">
        <f t="shared" si="952"/>
        <v>714.88000000000011</v>
      </c>
      <c r="P335" s="440">
        <f t="shared" si="943"/>
        <v>689.88000000000011</v>
      </c>
      <c r="Q335" s="279">
        <f t="shared" si="953"/>
        <v>689.88000000000011</v>
      </c>
      <c r="R335" s="440">
        <f t="shared" si="945"/>
        <v>679.88000000000011</v>
      </c>
      <c r="S335" s="279">
        <f t="shared" si="954"/>
        <v>679.88000000000011</v>
      </c>
      <c r="T335" s="99">
        <f t="shared" si="947"/>
        <v>664.88000000000011</v>
      </c>
      <c r="U335" s="294">
        <f t="shared" si="955"/>
        <v>664.88000000000011</v>
      </c>
      <c r="V335" s="99">
        <f t="shared" si="949"/>
        <v>652.88000000000011</v>
      </c>
      <c r="W335" s="294">
        <f t="shared" si="956"/>
        <v>652.88000000000011</v>
      </c>
      <c r="X335" s="147"/>
      <c r="Y335" s="128"/>
      <c r="Z335" s="135"/>
      <c r="AA335" s="135"/>
      <c r="AB335" s="398">
        <v>2156</v>
      </c>
      <c r="AC335" s="22"/>
      <c r="AD335" s="22"/>
    </row>
    <row r="336" spans="1:34" ht="12.6" customHeight="1" x14ac:dyDescent="0.2">
      <c r="A336" s="18"/>
      <c r="B336" s="733" t="s">
        <v>216</v>
      </c>
      <c r="C336" s="734"/>
      <c r="D336" s="734"/>
      <c r="E336" s="735"/>
      <c r="F336" s="364">
        <f>0.484*X2</f>
        <v>531.43200000000002</v>
      </c>
      <c r="G336" s="278">
        <f t="shared" ref="G336" si="957">+F336*$X$1</f>
        <v>531.43200000000002</v>
      </c>
      <c r="H336" s="272"/>
      <c r="I336" s="330"/>
      <c r="J336" s="607"/>
      <c r="K336" s="278"/>
      <c r="L336" s="607">
        <f t="shared" si="939"/>
        <v>691.43200000000002</v>
      </c>
      <c r="M336" s="278">
        <f t="shared" ref="M336:M340" si="958">+L336*$X$1</f>
        <v>691.43200000000002</v>
      </c>
      <c r="N336" s="607">
        <f t="shared" si="941"/>
        <v>631.43200000000002</v>
      </c>
      <c r="O336" s="278">
        <f t="shared" ref="O336:O340" si="959">+N336*$X$1</f>
        <v>631.43200000000002</v>
      </c>
      <c r="P336" s="607">
        <f t="shared" si="943"/>
        <v>606.43200000000002</v>
      </c>
      <c r="Q336" s="278">
        <f t="shared" ref="Q336:Q339" si="960">+P336*$X$1</f>
        <v>606.43200000000002</v>
      </c>
      <c r="R336" s="607">
        <f t="shared" si="945"/>
        <v>596.43200000000002</v>
      </c>
      <c r="S336" s="278">
        <f t="shared" ref="S336:S339" si="961">+R336*$X$1</f>
        <v>596.43200000000002</v>
      </c>
      <c r="T336" s="100">
        <f t="shared" si="947"/>
        <v>581.43200000000002</v>
      </c>
      <c r="U336" s="251">
        <f t="shared" ref="U336:U339" si="962">+T336*$X$1</f>
        <v>581.43200000000002</v>
      </c>
      <c r="V336" s="100">
        <f t="shared" si="949"/>
        <v>569.43200000000002</v>
      </c>
      <c r="W336" s="251">
        <f t="shared" ref="W336:W339" si="963">+V336*$X$1</f>
        <v>569.43200000000002</v>
      </c>
      <c r="X336" s="128"/>
      <c r="Y336" s="135"/>
      <c r="Z336" s="135"/>
      <c r="AA336" s="135"/>
      <c r="AB336" s="398">
        <v>2160</v>
      </c>
      <c r="AC336" s="22"/>
      <c r="AD336" s="22"/>
      <c r="AH336" s="63"/>
    </row>
    <row r="337" spans="1:31" ht="12.6" customHeight="1" x14ac:dyDescent="0.2">
      <c r="A337" s="95"/>
      <c r="B337" s="980" t="s">
        <v>217</v>
      </c>
      <c r="C337" s="981"/>
      <c r="D337" s="981"/>
      <c r="E337" s="982"/>
      <c r="F337" s="365">
        <f>0.57*X2</f>
        <v>625.8599999999999</v>
      </c>
      <c r="G337" s="294">
        <f t="shared" ref="G337" si="964">+F337*$X$1</f>
        <v>625.8599999999999</v>
      </c>
      <c r="H337" s="440"/>
      <c r="I337" s="440"/>
      <c r="J337" s="117"/>
      <c r="K337" s="279"/>
      <c r="L337" s="440">
        <f t="shared" si="939"/>
        <v>785.8599999999999</v>
      </c>
      <c r="M337" s="279">
        <f t="shared" si="958"/>
        <v>785.8599999999999</v>
      </c>
      <c r="N337" s="440">
        <f t="shared" si="941"/>
        <v>725.8599999999999</v>
      </c>
      <c r="O337" s="279">
        <f t="shared" si="959"/>
        <v>725.8599999999999</v>
      </c>
      <c r="P337" s="440">
        <f t="shared" si="943"/>
        <v>700.8599999999999</v>
      </c>
      <c r="Q337" s="279">
        <f t="shared" si="960"/>
        <v>700.8599999999999</v>
      </c>
      <c r="R337" s="440">
        <f t="shared" si="945"/>
        <v>690.8599999999999</v>
      </c>
      <c r="S337" s="279">
        <f t="shared" si="961"/>
        <v>690.8599999999999</v>
      </c>
      <c r="T337" s="99">
        <f t="shared" si="947"/>
        <v>675.8599999999999</v>
      </c>
      <c r="U337" s="294">
        <f t="shared" si="962"/>
        <v>675.8599999999999</v>
      </c>
      <c r="V337" s="99">
        <f t="shared" si="949"/>
        <v>663.8599999999999</v>
      </c>
      <c r="W337" s="294">
        <f t="shared" si="963"/>
        <v>663.8599999999999</v>
      </c>
      <c r="X337" s="128"/>
      <c r="Y337" s="135"/>
      <c r="Z337" s="135"/>
      <c r="AA337" s="135"/>
      <c r="AB337" s="385">
        <v>2174</v>
      </c>
      <c r="AC337" s="65"/>
      <c r="AD337" s="22"/>
    </row>
    <row r="338" spans="1:31" ht="12.6" customHeight="1" x14ac:dyDescent="0.2">
      <c r="A338" s="95"/>
      <c r="B338" s="1203" t="s">
        <v>218</v>
      </c>
      <c r="C338" s="1204"/>
      <c r="D338" s="1204"/>
      <c r="E338" s="1205"/>
      <c r="F338" s="364">
        <f>0.57*X2</f>
        <v>625.8599999999999</v>
      </c>
      <c r="G338" s="251">
        <f>+F338*$X$1</f>
        <v>625.8599999999999</v>
      </c>
      <c r="H338" s="607"/>
      <c r="I338" s="607"/>
      <c r="J338" s="118"/>
      <c r="K338" s="278"/>
      <c r="L338" s="607">
        <f t="shared" si="939"/>
        <v>785.8599999999999</v>
      </c>
      <c r="M338" s="278">
        <f t="shared" si="958"/>
        <v>785.8599999999999</v>
      </c>
      <c r="N338" s="607">
        <f t="shared" si="941"/>
        <v>725.8599999999999</v>
      </c>
      <c r="O338" s="278">
        <f t="shared" si="959"/>
        <v>725.8599999999999</v>
      </c>
      <c r="P338" s="607">
        <f t="shared" si="943"/>
        <v>700.8599999999999</v>
      </c>
      <c r="Q338" s="278">
        <f t="shared" si="960"/>
        <v>700.8599999999999</v>
      </c>
      <c r="R338" s="607">
        <f t="shared" si="945"/>
        <v>690.8599999999999</v>
      </c>
      <c r="S338" s="278">
        <f t="shared" si="961"/>
        <v>690.8599999999999</v>
      </c>
      <c r="T338" s="100">
        <f t="shared" si="947"/>
        <v>675.8599999999999</v>
      </c>
      <c r="U338" s="251">
        <f t="shared" si="962"/>
        <v>675.8599999999999</v>
      </c>
      <c r="V338" s="100">
        <f t="shared" si="949"/>
        <v>663.8599999999999</v>
      </c>
      <c r="W338" s="251">
        <f t="shared" si="963"/>
        <v>663.8599999999999</v>
      </c>
      <c r="X338" s="128"/>
      <c r="Y338" s="135"/>
      <c r="Z338" s="135"/>
      <c r="AA338" s="135"/>
      <c r="AB338" s="385" t="s">
        <v>329</v>
      </c>
      <c r="AC338" s="65"/>
      <c r="AD338" s="22"/>
    </row>
    <row r="339" spans="1:31" ht="12.6" customHeight="1" x14ac:dyDescent="0.2">
      <c r="A339" s="95"/>
      <c r="B339" s="672" t="s">
        <v>667</v>
      </c>
      <c r="C339" s="673"/>
      <c r="D339" s="673"/>
      <c r="E339" s="673"/>
      <c r="F339" s="365">
        <f>0.58*X2</f>
        <v>636.83999999999992</v>
      </c>
      <c r="G339" s="294">
        <f>+F339*$X$1</f>
        <v>636.83999999999992</v>
      </c>
      <c r="H339" s="440"/>
      <c r="I339" s="440"/>
      <c r="J339" s="117"/>
      <c r="K339" s="279"/>
      <c r="L339" s="440">
        <f t="shared" si="939"/>
        <v>796.83999999999992</v>
      </c>
      <c r="M339" s="279">
        <f t="shared" si="958"/>
        <v>796.83999999999992</v>
      </c>
      <c r="N339" s="440">
        <f t="shared" si="941"/>
        <v>736.83999999999992</v>
      </c>
      <c r="O339" s="279">
        <f t="shared" si="959"/>
        <v>736.83999999999992</v>
      </c>
      <c r="P339" s="440">
        <f t="shared" si="943"/>
        <v>711.83999999999992</v>
      </c>
      <c r="Q339" s="279">
        <f t="shared" si="960"/>
        <v>711.83999999999992</v>
      </c>
      <c r="R339" s="440">
        <f t="shared" si="945"/>
        <v>701.83999999999992</v>
      </c>
      <c r="S339" s="279">
        <f t="shared" si="961"/>
        <v>701.83999999999992</v>
      </c>
      <c r="T339" s="99">
        <f t="shared" si="947"/>
        <v>686.83999999999992</v>
      </c>
      <c r="U339" s="294">
        <f t="shared" si="962"/>
        <v>686.83999999999992</v>
      </c>
      <c r="V339" s="99">
        <f t="shared" si="949"/>
        <v>674.83999999999992</v>
      </c>
      <c r="W339" s="294">
        <f t="shared" si="963"/>
        <v>674.83999999999992</v>
      </c>
      <c r="X339" s="128"/>
      <c r="Y339" s="135"/>
      <c r="Z339" s="135"/>
      <c r="AA339" s="135"/>
      <c r="AB339" s="385">
        <v>2180</v>
      </c>
      <c r="AC339" s="22"/>
      <c r="AD339" s="22"/>
    </row>
    <row r="340" spans="1:31" ht="12" customHeight="1" x14ac:dyDescent="0.2">
      <c r="A340" s="181"/>
      <c r="B340" s="733" t="s">
        <v>219</v>
      </c>
      <c r="C340" s="948"/>
      <c r="D340" s="948"/>
      <c r="E340" s="949"/>
      <c r="F340" s="364">
        <f>0.8*X2</f>
        <v>878.40000000000009</v>
      </c>
      <c r="G340" s="251">
        <f>+F340*$X$1</f>
        <v>878.40000000000009</v>
      </c>
      <c r="H340" s="607"/>
      <c r="I340" s="607"/>
      <c r="J340" s="118"/>
      <c r="K340" s="278"/>
      <c r="L340" s="607">
        <f t="shared" si="939"/>
        <v>1038.4000000000001</v>
      </c>
      <c r="M340" s="278">
        <f t="shared" si="958"/>
        <v>1038.4000000000001</v>
      </c>
      <c r="N340" s="607">
        <f t="shared" si="941"/>
        <v>978.40000000000009</v>
      </c>
      <c r="O340" s="278">
        <f t="shared" si="959"/>
        <v>978.40000000000009</v>
      </c>
      <c r="P340" s="607"/>
      <c r="Q340" s="278"/>
      <c r="R340" s="607"/>
      <c r="S340" s="278"/>
      <c r="T340" s="100"/>
      <c r="U340" s="251"/>
      <c r="V340" s="100"/>
      <c r="W340" s="251"/>
      <c r="X340" s="128"/>
      <c r="Y340" s="128"/>
      <c r="Z340" s="128"/>
      <c r="AA340" s="128"/>
      <c r="AB340" s="385">
        <v>2184</v>
      </c>
    </row>
    <row r="341" spans="1:31" ht="12" customHeight="1" x14ac:dyDescent="0.2">
      <c r="A341" s="181"/>
      <c r="B341" s="748" t="s">
        <v>220</v>
      </c>
      <c r="C341" s="772"/>
      <c r="D341" s="772"/>
      <c r="E341" s="773"/>
      <c r="F341" s="365">
        <f>0.71*X2</f>
        <v>779.57999999999993</v>
      </c>
      <c r="G341" s="294">
        <f>+F341*$X$1</f>
        <v>779.57999999999993</v>
      </c>
      <c r="H341" s="440"/>
      <c r="I341" s="440"/>
      <c r="J341" s="117"/>
      <c r="K341" s="279"/>
      <c r="L341" s="440">
        <f t="shared" si="939"/>
        <v>939.57999999999993</v>
      </c>
      <c r="M341" s="279">
        <f t="shared" ref="M341:M343" si="965">+L341*$X$1</f>
        <v>939.57999999999993</v>
      </c>
      <c r="N341" s="440">
        <f t="shared" si="941"/>
        <v>879.57999999999993</v>
      </c>
      <c r="O341" s="279">
        <f t="shared" ref="O341:O343" si="966">+N341*$X$1</f>
        <v>879.57999999999993</v>
      </c>
      <c r="P341" s="440">
        <f t="shared" ref="P341:P348" si="967">F341+75</f>
        <v>854.57999999999993</v>
      </c>
      <c r="Q341" s="279">
        <f t="shared" ref="Q341:Q343" si="968">+P341*$X$1</f>
        <v>854.57999999999993</v>
      </c>
      <c r="R341" s="440">
        <f t="shared" ref="R341:R346" si="969">F341+65</f>
        <v>844.57999999999993</v>
      </c>
      <c r="S341" s="279">
        <f t="shared" ref="S341:S343" si="970">+R341*$X$1</f>
        <v>844.57999999999993</v>
      </c>
      <c r="T341" s="99">
        <f t="shared" ref="T341:T346" si="971">F341+50</f>
        <v>829.57999999999993</v>
      </c>
      <c r="U341" s="294">
        <f t="shared" ref="U341:U343" si="972">+T341*$X$1</f>
        <v>829.57999999999993</v>
      </c>
      <c r="V341" s="99">
        <f t="shared" ref="V341:V346" si="973">F341+38</f>
        <v>817.57999999999993</v>
      </c>
      <c r="W341" s="294">
        <f t="shared" ref="W341:W343" si="974">+V341*$X$1</f>
        <v>817.57999999999993</v>
      </c>
      <c r="X341" s="128"/>
      <c r="Y341" s="128"/>
      <c r="Z341" s="128"/>
      <c r="AA341" s="128"/>
      <c r="AB341" s="385" t="s">
        <v>221</v>
      </c>
    </row>
    <row r="342" spans="1:31" ht="12" customHeight="1" x14ac:dyDescent="0.2">
      <c r="A342" s="95"/>
      <c r="B342" s="733" t="s">
        <v>222</v>
      </c>
      <c r="C342" s="734"/>
      <c r="D342" s="734"/>
      <c r="E342" s="735"/>
      <c r="F342" s="364">
        <f>0.372*X2</f>
        <v>408.45600000000002</v>
      </c>
      <c r="G342" s="251">
        <f>+F342*$X$1</f>
        <v>408.45600000000002</v>
      </c>
      <c r="H342" s="607"/>
      <c r="I342" s="607"/>
      <c r="J342" s="118"/>
      <c r="K342" s="278"/>
      <c r="L342" s="607">
        <f t="shared" si="939"/>
        <v>568.45600000000002</v>
      </c>
      <c r="M342" s="278">
        <f t="shared" si="965"/>
        <v>568.45600000000002</v>
      </c>
      <c r="N342" s="607">
        <f t="shared" si="941"/>
        <v>508.45600000000002</v>
      </c>
      <c r="O342" s="278">
        <f t="shared" si="966"/>
        <v>508.45600000000002</v>
      </c>
      <c r="P342" s="607">
        <f t="shared" si="967"/>
        <v>483.45600000000002</v>
      </c>
      <c r="Q342" s="278">
        <f t="shared" si="968"/>
        <v>483.45600000000002</v>
      </c>
      <c r="R342" s="607">
        <f t="shared" si="969"/>
        <v>473.45600000000002</v>
      </c>
      <c r="S342" s="278">
        <f t="shared" si="970"/>
        <v>473.45600000000002</v>
      </c>
      <c r="T342" s="100">
        <f t="shared" si="971"/>
        <v>458.45600000000002</v>
      </c>
      <c r="U342" s="251">
        <f t="shared" si="972"/>
        <v>458.45600000000002</v>
      </c>
      <c r="V342" s="100">
        <f t="shared" si="973"/>
        <v>446.45600000000002</v>
      </c>
      <c r="W342" s="251">
        <f t="shared" si="974"/>
        <v>446.45600000000002</v>
      </c>
      <c r="X342" s="128"/>
      <c r="Y342" s="128"/>
      <c r="Z342" s="128"/>
      <c r="AA342" s="128"/>
      <c r="AB342" s="385">
        <v>2189</v>
      </c>
    </row>
    <row r="343" spans="1:31" ht="12.6" customHeight="1" x14ac:dyDescent="0.2">
      <c r="A343" s="95"/>
      <c r="B343" s="748" t="s">
        <v>223</v>
      </c>
      <c r="C343" s="772"/>
      <c r="D343" s="772"/>
      <c r="E343" s="773"/>
      <c r="F343" s="365">
        <f>0.6*X2</f>
        <v>658.8</v>
      </c>
      <c r="G343" s="294">
        <f t="shared" ref="G343" si="975">+F343*$X$1</f>
        <v>658.8</v>
      </c>
      <c r="H343" s="440"/>
      <c r="I343" s="440"/>
      <c r="J343" s="117"/>
      <c r="K343" s="279"/>
      <c r="L343" s="440">
        <f t="shared" si="939"/>
        <v>818.8</v>
      </c>
      <c r="M343" s="279">
        <f t="shared" si="965"/>
        <v>818.8</v>
      </c>
      <c r="N343" s="440">
        <f t="shared" si="941"/>
        <v>758.8</v>
      </c>
      <c r="O343" s="279">
        <f t="shared" si="966"/>
        <v>758.8</v>
      </c>
      <c r="P343" s="440">
        <f t="shared" si="967"/>
        <v>733.8</v>
      </c>
      <c r="Q343" s="279">
        <f t="shared" si="968"/>
        <v>733.8</v>
      </c>
      <c r="R343" s="440">
        <f t="shared" si="969"/>
        <v>723.8</v>
      </c>
      <c r="S343" s="279">
        <f t="shared" si="970"/>
        <v>723.8</v>
      </c>
      <c r="T343" s="99">
        <f t="shared" si="971"/>
        <v>708.8</v>
      </c>
      <c r="U343" s="294">
        <f t="shared" si="972"/>
        <v>708.8</v>
      </c>
      <c r="V343" s="99">
        <f t="shared" si="973"/>
        <v>696.8</v>
      </c>
      <c r="W343" s="294">
        <f t="shared" si="974"/>
        <v>696.8</v>
      </c>
      <c r="X343" s="128"/>
      <c r="Y343" s="128"/>
      <c r="Z343" s="128"/>
      <c r="AA343" s="128"/>
      <c r="AB343" s="385">
        <v>2190</v>
      </c>
    </row>
    <row r="344" spans="1:31" ht="12.6" customHeight="1" x14ac:dyDescent="0.2">
      <c r="A344" s="18"/>
      <c r="B344" s="1180" t="s">
        <v>224</v>
      </c>
      <c r="C344" s="734"/>
      <c r="D344" s="734"/>
      <c r="E344" s="735"/>
      <c r="F344" s="364">
        <f>0.521*X2</f>
        <v>572.05799999999999</v>
      </c>
      <c r="G344" s="251">
        <f>+F344*$X$1</f>
        <v>572.05799999999999</v>
      </c>
      <c r="H344" s="607"/>
      <c r="I344" s="607"/>
      <c r="J344" s="118"/>
      <c r="K344" s="278"/>
      <c r="L344" s="607">
        <f t="shared" si="939"/>
        <v>732.05799999999999</v>
      </c>
      <c r="M344" s="278">
        <f t="shared" ref="M344:M347" si="976">+L344*$X$1</f>
        <v>732.05799999999999</v>
      </c>
      <c r="N344" s="607">
        <f t="shared" si="941"/>
        <v>672.05799999999999</v>
      </c>
      <c r="O344" s="278">
        <f t="shared" ref="O344:O347" si="977">+N344*$X$1</f>
        <v>672.05799999999999</v>
      </c>
      <c r="P344" s="607">
        <f t="shared" si="967"/>
        <v>647.05799999999999</v>
      </c>
      <c r="Q344" s="278">
        <f t="shared" ref="Q344:Q347" si="978">+P344*$X$1</f>
        <v>647.05799999999999</v>
      </c>
      <c r="R344" s="607">
        <f t="shared" si="969"/>
        <v>637.05799999999999</v>
      </c>
      <c r="S344" s="278">
        <f t="shared" ref="S344:S346" si="979">+R344*$X$1</f>
        <v>637.05799999999999</v>
      </c>
      <c r="T344" s="100">
        <f t="shared" si="971"/>
        <v>622.05799999999999</v>
      </c>
      <c r="U344" s="251">
        <f t="shared" ref="U344:U346" si="980">+T344*$X$1</f>
        <v>622.05799999999999</v>
      </c>
      <c r="V344" s="100">
        <f t="shared" si="973"/>
        <v>610.05799999999999</v>
      </c>
      <c r="W344" s="251">
        <f t="shared" ref="W344:W346" si="981">+V344*$X$1</f>
        <v>610.05799999999999</v>
      </c>
      <c r="X344" s="178"/>
      <c r="Y344" s="179"/>
      <c r="Z344" s="179"/>
      <c r="AA344" s="178"/>
      <c r="AB344" s="385">
        <v>2193</v>
      </c>
    </row>
    <row r="345" spans="1:31" ht="12.6" customHeight="1" x14ac:dyDescent="0.2">
      <c r="A345" s="18"/>
      <c r="B345" s="672" t="s">
        <v>225</v>
      </c>
      <c r="C345" s="673"/>
      <c r="D345" s="673"/>
      <c r="E345" s="673"/>
      <c r="F345" s="365">
        <f>0.57*X2</f>
        <v>625.8599999999999</v>
      </c>
      <c r="G345" s="294">
        <f>+F345*$X$1</f>
        <v>625.8599999999999</v>
      </c>
      <c r="H345" s="440"/>
      <c r="I345" s="440"/>
      <c r="J345" s="117"/>
      <c r="K345" s="279"/>
      <c r="L345" s="440">
        <f t="shared" si="939"/>
        <v>785.8599999999999</v>
      </c>
      <c r="M345" s="279">
        <f t="shared" si="976"/>
        <v>785.8599999999999</v>
      </c>
      <c r="N345" s="440">
        <f t="shared" si="941"/>
        <v>725.8599999999999</v>
      </c>
      <c r="O345" s="279">
        <f t="shared" si="977"/>
        <v>725.8599999999999</v>
      </c>
      <c r="P345" s="440">
        <f t="shared" si="967"/>
        <v>700.8599999999999</v>
      </c>
      <c r="Q345" s="279">
        <f t="shared" si="978"/>
        <v>700.8599999999999</v>
      </c>
      <c r="R345" s="440">
        <f t="shared" si="969"/>
        <v>690.8599999999999</v>
      </c>
      <c r="S345" s="279">
        <f t="shared" si="979"/>
        <v>690.8599999999999</v>
      </c>
      <c r="T345" s="99">
        <f t="shared" si="971"/>
        <v>675.8599999999999</v>
      </c>
      <c r="U345" s="294">
        <f t="shared" si="980"/>
        <v>675.8599999999999</v>
      </c>
      <c r="V345" s="99">
        <f t="shared" si="973"/>
        <v>663.8599999999999</v>
      </c>
      <c r="W345" s="294">
        <f t="shared" si="981"/>
        <v>663.8599999999999</v>
      </c>
      <c r="X345" s="128"/>
      <c r="Y345" s="128"/>
      <c r="Z345" s="128"/>
      <c r="AA345" s="128"/>
      <c r="AB345" s="385">
        <v>2194</v>
      </c>
    </row>
    <row r="346" spans="1:31" ht="12.6" customHeight="1" x14ac:dyDescent="0.2">
      <c r="A346" s="18"/>
      <c r="B346" s="1200" t="s">
        <v>226</v>
      </c>
      <c r="C346" s="1201"/>
      <c r="D346" s="1201"/>
      <c r="E346" s="1202"/>
      <c r="F346" s="364">
        <f>0.67*X2</f>
        <v>735.66000000000008</v>
      </c>
      <c r="G346" s="251">
        <f>+F346*$X$1</f>
        <v>735.66000000000008</v>
      </c>
      <c r="H346" s="607"/>
      <c r="I346" s="607"/>
      <c r="J346" s="118"/>
      <c r="K346" s="278"/>
      <c r="L346" s="607">
        <f t="shared" si="939"/>
        <v>895.66000000000008</v>
      </c>
      <c r="M346" s="278">
        <f t="shared" si="976"/>
        <v>895.66000000000008</v>
      </c>
      <c r="N346" s="607">
        <f t="shared" si="941"/>
        <v>835.66000000000008</v>
      </c>
      <c r="O346" s="278">
        <f t="shared" si="977"/>
        <v>835.66000000000008</v>
      </c>
      <c r="P346" s="607">
        <f t="shared" si="967"/>
        <v>810.66000000000008</v>
      </c>
      <c r="Q346" s="278">
        <f t="shared" si="978"/>
        <v>810.66000000000008</v>
      </c>
      <c r="R346" s="607">
        <f t="shared" si="969"/>
        <v>800.66000000000008</v>
      </c>
      <c r="S346" s="278">
        <f t="shared" si="979"/>
        <v>800.66000000000008</v>
      </c>
      <c r="T346" s="100">
        <f t="shared" si="971"/>
        <v>785.66000000000008</v>
      </c>
      <c r="U346" s="251">
        <f t="shared" si="980"/>
        <v>785.66000000000008</v>
      </c>
      <c r="V346" s="100">
        <f t="shared" si="973"/>
        <v>773.66000000000008</v>
      </c>
      <c r="W346" s="251">
        <f t="shared" si="981"/>
        <v>773.66000000000008</v>
      </c>
      <c r="X346" s="128"/>
      <c r="Y346" s="128"/>
      <c r="Z346" s="128"/>
      <c r="AA346" s="128"/>
      <c r="AB346" s="385">
        <v>2195</v>
      </c>
    </row>
    <row r="347" spans="1:31" ht="12.6" customHeight="1" x14ac:dyDescent="0.2">
      <c r="A347" s="18"/>
      <c r="B347" s="672" t="s">
        <v>227</v>
      </c>
      <c r="C347" s="673"/>
      <c r="D347" s="673"/>
      <c r="E347" s="673"/>
      <c r="F347" s="365">
        <f>0.652*X2</f>
        <v>715.89600000000007</v>
      </c>
      <c r="G347" s="294">
        <f>+F347*$X$1</f>
        <v>715.89600000000007</v>
      </c>
      <c r="H347" s="440"/>
      <c r="I347" s="440"/>
      <c r="J347" s="440"/>
      <c r="K347" s="279"/>
      <c r="L347" s="440">
        <f t="shared" si="939"/>
        <v>875.89600000000007</v>
      </c>
      <c r="M347" s="279">
        <f t="shared" si="976"/>
        <v>875.89600000000007</v>
      </c>
      <c r="N347" s="440">
        <f t="shared" si="941"/>
        <v>815.89600000000007</v>
      </c>
      <c r="O347" s="279">
        <f t="shared" si="977"/>
        <v>815.89600000000007</v>
      </c>
      <c r="P347" s="440">
        <f t="shared" si="967"/>
        <v>790.89600000000007</v>
      </c>
      <c r="Q347" s="279">
        <f t="shared" si="978"/>
        <v>790.89600000000007</v>
      </c>
      <c r="R347" s="440"/>
      <c r="S347" s="279"/>
      <c r="T347" s="99"/>
      <c r="U347" s="294"/>
      <c r="V347" s="99"/>
      <c r="W347" s="294"/>
      <c r="X347" s="128"/>
      <c r="Y347" s="128"/>
      <c r="Z347" s="128"/>
      <c r="AA347" s="128"/>
      <c r="AB347" s="385">
        <v>2198</v>
      </c>
    </row>
    <row r="348" spans="1:31" ht="12.6" customHeight="1" x14ac:dyDescent="0.2">
      <c r="A348" s="101"/>
      <c r="B348" s="690" t="s">
        <v>319</v>
      </c>
      <c r="C348" s="763"/>
      <c r="D348" s="763"/>
      <c r="E348" s="763"/>
      <c r="F348" s="364">
        <f>0.49*X2</f>
        <v>538.02</v>
      </c>
      <c r="G348" s="251">
        <f>+F348*$X$1</f>
        <v>538.02</v>
      </c>
      <c r="H348" s="607"/>
      <c r="I348" s="607"/>
      <c r="J348" s="607"/>
      <c r="K348" s="278"/>
      <c r="L348" s="607">
        <f t="shared" si="939"/>
        <v>698.02</v>
      </c>
      <c r="M348" s="278">
        <f t="shared" ref="M348" si="982">+L348*$X$1</f>
        <v>698.02</v>
      </c>
      <c r="N348" s="607">
        <f t="shared" si="941"/>
        <v>638.02</v>
      </c>
      <c r="O348" s="278">
        <f t="shared" ref="O348" si="983">+N348*$X$1</f>
        <v>638.02</v>
      </c>
      <c r="P348" s="607">
        <f t="shared" si="967"/>
        <v>613.02</v>
      </c>
      <c r="Q348" s="278">
        <f t="shared" ref="Q348" si="984">+P348*$X$1</f>
        <v>613.02</v>
      </c>
      <c r="R348" s="607">
        <f>F348+65</f>
        <v>603.02</v>
      </c>
      <c r="S348" s="278">
        <f t="shared" ref="S348" si="985">+R348*$X$1</f>
        <v>603.02</v>
      </c>
      <c r="T348" s="100">
        <f>F348+50</f>
        <v>588.02</v>
      </c>
      <c r="U348" s="251">
        <f t="shared" ref="U348" si="986">+T348*$X$1</f>
        <v>588.02</v>
      </c>
      <c r="V348" s="100">
        <f>F348+38</f>
        <v>576.02</v>
      </c>
      <c r="W348" s="251">
        <f t="shared" ref="W348" si="987">+V348*$X$1</f>
        <v>576.02</v>
      </c>
      <c r="X348" s="149"/>
      <c r="Y348" s="128"/>
      <c r="Z348" s="128"/>
      <c r="AA348" s="128"/>
      <c r="AB348" s="385">
        <v>2202</v>
      </c>
    </row>
    <row r="349" spans="1:31" ht="12.6" customHeight="1" x14ac:dyDescent="0.2">
      <c r="A349" s="101"/>
      <c r="B349" s="672" t="s">
        <v>320</v>
      </c>
      <c r="C349" s="745"/>
      <c r="D349" s="745"/>
      <c r="E349" s="745"/>
      <c r="F349" s="365">
        <f>0.49*X2</f>
        <v>538.02</v>
      </c>
      <c r="G349" s="294">
        <f t="shared" ref="G349:G353" si="988">+F349*$X$1</f>
        <v>538.02</v>
      </c>
      <c r="H349" s="440"/>
      <c r="I349" s="440"/>
      <c r="J349" s="440"/>
      <c r="K349" s="279"/>
      <c r="L349" s="440">
        <f t="shared" ref="L349:L357" si="989">F349+160</f>
        <v>698.02</v>
      </c>
      <c r="M349" s="279">
        <f t="shared" ref="M349:M358" si="990">+L349*$X$1</f>
        <v>698.02</v>
      </c>
      <c r="N349" s="440">
        <f t="shared" ref="N349:N357" si="991">F349+100</f>
        <v>638.02</v>
      </c>
      <c r="O349" s="279">
        <f t="shared" ref="O349:O357" si="992">+N349*$X$1</f>
        <v>638.02</v>
      </c>
      <c r="P349" s="440">
        <f t="shared" ref="P349:P357" si="993">F349+75</f>
        <v>613.02</v>
      </c>
      <c r="Q349" s="279">
        <f t="shared" ref="Q349:Q358" si="994">+P349*$X$1</f>
        <v>613.02</v>
      </c>
      <c r="R349" s="440">
        <f t="shared" ref="R349:R357" si="995">F349+65</f>
        <v>603.02</v>
      </c>
      <c r="S349" s="279">
        <f t="shared" ref="S349:S357" si="996">+R349*$X$1</f>
        <v>603.02</v>
      </c>
      <c r="T349" s="99">
        <f t="shared" ref="T349:T357" si="997">F349+50</f>
        <v>588.02</v>
      </c>
      <c r="U349" s="294">
        <f t="shared" ref="U349:U358" si="998">+T349*$X$1</f>
        <v>588.02</v>
      </c>
      <c r="V349" s="99">
        <f t="shared" ref="V349:V357" si="999">F349+38</f>
        <v>576.02</v>
      </c>
      <c r="W349" s="294">
        <f t="shared" ref="W349:W358" si="1000">+V349*$X$1</f>
        <v>576.02</v>
      </c>
      <c r="X349" s="128"/>
      <c r="Y349" s="128"/>
      <c r="Z349" s="128"/>
      <c r="AA349" s="128"/>
      <c r="AB349" s="385" t="s">
        <v>228</v>
      </c>
    </row>
    <row r="350" spans="1:31" ht="12.6" customHeight="1" x14ac:dyDescent="0.2">
      <c r="A350" s="101"/>
      <c r="B350" s="690" t="s">
        <v>321</v>
      </c>
      <c r="C350" s="763"/>
      <c r="D350" s="763"/>
      <c r="E350" s="763"/>
      <c r="F350" s="364">
        <f>0.49*X2</f>
        <v>538.02</v>
      </c>
      <c r="G350" s="251">
        <f t="shared" ref="G350:G354" si="1001">+F350*$X$1</f>
        <v>538.02</v>
      </c>
      <c r="H350" s="607"/>
      <c r="I350" s="607"/>
      <c r="J350" s="607"/>
      <c r="K350" s="295"/>
      <c r="L350" s="607">
        <f t="shared" si="989"/>
        <v>698.02</v>
      </c>
      <c r="M350" s="278">
        <f t="shared" si="990"/>
        <v>698.02</v>
      </c>
      <c r="N350" s="607">
        <f t="shared" si="991"/>
        <v>638.02</v>
      </c>
      <c r="O350" s="278">
        <f t="shared" si="992"/>
        <v>638.02</v>
      </c>
      <c r="P350" s="607">
        <f t="shared" si="993"/>
        <v>613.02</v>
      </c>
      <c r="Q350" s="278">
        <f t="shared" si="994"/>
        <v>613.02</v>
      </c>
      <c r="R350" s="607">
        <f t="shared" si="995"/>
        <v>603.02</v>
      </c>
      <c r="S350" s="278">
        <f t="shared" si="996"/>
        <v>603.02</v>
      </c>
      <c r="T350" s="100">
        <f t="shared" si="997"/>
        <v>588.02</v>
      </c>
      <c r="U350" s="251">
        <f t="shared" si="998"/>
        <v>588.02</v>
      </c>
      <c r="V350" s="100">
        <f t="shared" si="999"/>
        <v>576.02</v>
      </c>
      <c r="W350" s="251">
        <f t="shared" si="1000"/>
        <v>576.02</v>
      </c>
      <c r="X350" s="128"/>
      <c r="Y350" s="128"/>
      <c r="Z350" s="128"/>
      <c r="AA350" s="128"/>
      <c r="AB350" s="385" t="s">
        <v>229</v>
      </c>
    </row>
    <row r="351" spans="1:31" ht="12.6" customHeight="1" x14ac:dyDescent="0.2">
      <c r="A351" s="101"/>
      <c r="B351" s="672" t="s">
        <v>841</v>
      </c>
      <c r="C351" s="745"/>
      <c r="D351" s="745"/>
      <c r="E351" s="745"/>
      <c r="F351" s="365">
        <f>0.49*X2</f>
        <v>538.02</v>
      </c>
      <c r="G351" s="294">
        <f t="shared" ref="G351" si="1002">+F351*$X$1</f>
        <v>538.02</v>
      </c>
      <c r="H351" s="440"/>
      <c r="I351" s="440"/>
      <c r="J351" s="440"/>
      <c r="K351" s="308"/>
      <c r="L351" s="440">
        <f t="shared" si="989"/>
        <v>698.02</v>
      </c>
      <c r="M351" s="279">
        <f t="shared" si="990"/>
        <v>698.02</v>
      </c>
      <c r="N351" s="440">
        <f t="shared" si="991"/>
        <v>638.02</v>
      </c>
      <c r="O351" s="279">
        <f t="shared" si="992"/>
        <v>638.02</v>
      </c>
      <c r="P351" s="440">
        <f t="shared" si="993"/>
        <v>613.02</v>
      </c>
      <c r="Q351" s="279">
        <f t="shared" si="994"/>
        <v>613.02</v>
      </c>
      <c r="R351" s="440">
        <f t="shared" si="995"/>
        <v>603.02</v>
      </c>
      <c r="S351" s="279">
        <f t="shared" si="996"/>
        <v>603.02</v>
      </c>
      <c r="T351" s="99">
        <f t="shared" si="997"/>
        <v>588.02</v>
      </c>
      <c r="U351" s="294">
        <f t="shared" si="998"/>
        <v>588.02</v>
      </c>
      <c r="V351" s="99">
        <f t="shared" si="999"/>
        <v>576.02</v>
      </c>
      <c r="W351" s="294">
        <f t="shared" si="1000"/>
        <v>576.02</v>
      </c>
      <c r="X351" s="128"/>
      <c r="Y351" s="128"/>
      <c r="Z351" s="128"/>
      <c r="AA351" s="128"/>
      <c r="AB351" s="491" t="s">
        <v>840</v>
      </c>
    </row>
    <row r="352" spans="1:31" ht="12.6" customHeight="1" x14ac:dyDescent="0.2">
      <c r="A352" s="101"/>
      <c r="B352" s="1023" t="s">
        <v>619</v>
      </c>
      <c r="C352" s="1181"/>
      <c r="D352" s="1181"/>
      <c r="E352" s="1182"/>
      <c r="F352" s="364">
        <f>0.68*X2</f>
        <v>746.6400000000001</v>
      </c>
      <c r="G352" s="251">
        <f t="shared" si="1001"/>
        <v>746.6400000000001</v>
      </c>
      <c r="H352" s="607"/>
      <c r="I352" s="607"/>
      <c r="J352" s="607"/>
      <c r="K352" s="278"/>
      <c r="L352" s="607">
        <f t="shared" si="989"/>
        <v>906.6400000000001</v>
      </c>
      <c r="M352" s="278">
        <f t="shared" si="990"/>
        <v>906.6400000000001</v>
      </c>
      <c r="N352" s="607">
        <f t="shared" si="991"/>
        <v>846.6400000000001</v>
      </c>
      <c r="O352" s="278">
        <f t="shared" si="992"/>
        <v>846.6400000000001</v>
      </c>
      <c r="P352" s="607">
        <f t="shared" si="993"/>
        <v>821.6400000000001</v>
      </c>
      <c r="Q352" s="278">
        <f t="shared" si="994"/>
        <v>821.6400000000001</v>
      </c>
      <c r="R352" s="607">
        <f t="shared" si="995"/>
        <v>811.6400000000001</v>
      </c>
      <c r="S352" s="278">
        <f t="shared" si="996"/>
        <v>811.6400000000001</v>
      </c>
      <c r="T352" s="100">
        <f t="shared" si="997"/>
        <v>796.6400000000001</v>
      </c>
      <c r="U352" s="251">
        <f t="shared" si="998"/>
        <v>796.6400000000001</v>
      </c>
      <c r="V352" s="100">
        <f t="shared" si="999"/>
        <v>784.6400000000001</v>
      </c>
      <c r="W352" s="251">
        <f t="shared" si="1000"/>
        <v>784.6400000000001</v>
      </c>
      <c r="X352" s="652"/>
      <c r="Y352" s="652"/>
      <c r="Z352" s="652"/>
      <c r="AA352" s="653"/>
      <c r="AB352" s="385" t="s">
        <v>623</v>
      </c>
      <c r="AC352" s="64"/>
      <c r="AE352" s="85"/>
    </row>
    <row r="353" spans="1:31" ht="12.6" customHeight="1" x14ac:dyDescent="0.2">
      <c r="A353" s="101"/>
      <c r="B353" s="687" t="s">
        <v>230</v>
      </c>
      <c r="C353" s="1178"/>
      <c r="D353" s="1178"/>
      <c r="E353" s="1179"/>
      <c r="F353" s="365">
        <f>0.725*X2</f>
        <v>796.05</v>
      </c>
      <c r="G353" s="294">
        <f t="shared" si="988"/>
        <v>796.05</v>
      </c>
      <c r="H353" s="440"/>
      <c r="I353" s="440"/>
      <c r="J353" s="440"/>
      <c r="K353" s="279"/>
      <c r="L353" s="440">
        <f t="shared" si="989"/>
        <v>956.05</v>
      </c>
      <c r="M353" s="279">
        <f t="shared" si="990"/>
        <v>956.05</v>
      </c>
      <c r="N353" s="440">
        <f t="shared" si="991"/>
        <v>896.05</v>
      </c>
      <c r="O353" s="279">
        <f t="shared" si="992"/>
        <v>896.05</v>
      </c>
      <c r="P353" s="440">
        <f t="shared" si="993"/>
        <v>871.05</v>
      </c>
      <c r="Q353" s="279">
        <f t="shared" si="994"/>
        <v>871.05</v>
      </c>
      <c r="R353" s="440">
        <f t="shared" si="995"/>
        <v>861.05</v>
      </c>
      <c r="S353" s="279">
        <f t="shared" si="996"/>
        <v>861.05</v>
      </c>
      <c r="T353" s="99">
        <f t="shared" si="997"/>
        <v>846.05</v>
      </c>
      <c r="U353" s="294">
        <f t="shared" si="998"/>
        <v>846.05</v>
      </c>
      <c r="V353" s="99">
        <f t="shared" si="999"/>
        <v>834.05</v>
      </c>
      <c r="W353" s="294">
        <f t="shared" si="1000"/>
        <v>834.05</v>
      </c>
      <c r="X353" s="652"/>
      <c r="Y353" s="652"/>
      <c r="Z353" s="652"/>
      <c r="AA353" s="653"/>
      <c r="AB353" s="385" t="s">
        <v>231</v>
      </c>
      <c r="AC353" s="64"/>
      <c r="AE353" s="85"/>
    </row>
    <row r="354" spans="1:31" ht="12.6" customHeight="1" x14ac:dyDescent="0.2">
      <c r="A354" s="95"/>
      <c r="B354" s="1023" t="s">
        <v>232</v>
      </c>
      <c r="C354" s="1183"/>
      <c r="D354" s="1183"/>
      <c r="E354" s="1184"/>
      <c r="F354" s="364">
        <f>0.745*X2</f>
        <v>818.01</v>
      </c>
      <c r="G354" s="251">
        <f t="shared" si="1001"/>
        <v>818.01</v>
      </c>
      <c r="H354" s="607"/>
      <c r="I354" s="607"/>
      <c r="J354" s="607"/>
      <c r="K354" s="278"/>
      <c r="L354" s="607">
        <f t="shared" si="989"/>
        <v>978.01</v>
      </c>
      <c r="M354" s="278">
        <f t="shared" si="990"/>
        <v>978.01</v>
      </c>
      <c r="N354" s="607">
        <f t="shared" si="991"/>
        <v>918.01</v>
      </c>
      <c r="O354" s="278">
        <f t="shared" si="992"/>
        <v>918.01</v>
      </c>
      <c r="P354" s="607">
        <f t="shared" si="993"/>
        <v>893.01</v>
      </c>
      <c r="Q354" s="278">
        <f t="shared" si="994"/>
        <v>893.01</v>
      </c>
      <c r="R354" s="607">
        <f t="shared" si="995"/>
        <v>883.01</v>
      </c>
      <c r="S354" s="278">
        <f t="shared" si="996"/>
        <v>883.01</v>
      </c>
      <c r="T354" s="100">
        <f t="shared" si="997"/>
        <v>868.01</v>
      </c>
      <c r="U354" s="251">
        <f t="shared" si="998"/>
        <v>868.01</v>
      </c>
      <c r="V354" s="100">
        <f t="shared" si="999"/>
        <v>856.01</v>
      </c>
      <c r="W354" s="251">
        <f t="shared" si="1000"/>
        <v>856.01</v>
      </c>
      <c r="X354" s="165"/>
      <c r="Y354" s="128"/>
      <c r="Z354" s="128"/>
      <c r="AA354" s="128"/>
      <c r="AB354" s="385">
        <v>2203</v>
      </c>
      <c r="AC354" s="223"/>
    </row>
    <row r="355" spans="1:31" ht="12.6" customHeight="1" x14ac:dyDescent="0.2">
      <c r="A355" s="95"/>
      <c r="B355" s="693" t="s">
        <v>233</v>
      </c>
      <c r="C355" s="1022"/>
      <c r="D355" s="1022"/>
      <c r="E355" s="1022"/>
      <c r="F355" s="365">
        <f>0.79*X2</f>
        <v>867.42000000000007</v>
      </c>
      <c r="G355" s="294">
        <f>+F355*$X$1</f>
        <v>867.42000000000007</v>
      </c>
      <c r="H355" s="440"/>
      <c r="I355" s="440"/>
      <c r="J355" s="440"/>
      <c r="K355" s="279"/>
      <c r="L355" s="440">
        <f t="shared" si="989"/>
        <v>1027.42</v>
      </c>
      <c r="M355" s="279">
        <f t="shared" si="990"/>
        <v>1027.42</v>
      </c>
      <c r="N355" s="440">
        <f t="shared" si="991"/>
        <v>967.42000000000007</v>
      </c>
      <c r="O355" s="279">
        <f t="shared" si="992"/>
        <v>967.42000000000007</v>
      </c>
      <c r="P355" s="440">
        <f t="shared" si="993"/>
        <v>942.42000000000007</v>
      </c>
      <c r="Q355" s="279">
        <f t="shared" si="994"/>
        <v>942.42000000000007</v>
      </c>
      <c r="R355" s="440">
        <f t="shared" si="995"/>
        <v>932.42000000000007</v>
      </c>
      <c r="S355" s="279">
        <f t="shared" si="996"/>
        <v>932.42000000000007</v>
      </c>
      <c r="T355" s="99">
        <f t="shared" si="997"/>
        <v>917.42000000000007</v>
      </c>
      <c r="U355" s="294">
        <f t="shared" si="998"/>
        <v>917.42000000000007</v>
      </c>
      <c r="V355" s="99">
        <f t="shared" si="999"/>
        <v>905.42000000000007</v>
      </c>
      <c r="W355" s="294">
        <f t="shared" si="1000"/>
        <v>905.42000000000007</v>
      </c>
      <c r="X355" s="166"/>
      <c r="Y355" s="131"/>
      <c r="Z355" s="131"/>
      <c r="AA355" s="134"/>
      <c r="AB355" s="385">
        <v>2205</v>
      </c>
      <c r="AC355" s="64"/>
    </row>
    <row r="356" spans="1:31" ht="12.6" customHeight="1" x14ac:dyDescent="0.2">
      <c r="A356" s="95"/>
      <c r="B356" s="690" t="s">
        <v>234</v>
      </c>
      <c r="C356" s="763"/>
      <c r="D356" s="763"/>
      <c r="E356" s="763"/>
      <c r="F356" s="364">
        <f>0.49*X2</f>
        <v>538.02</v>
      </c>
      <c r="G356" s="251">
        <f>+F356*$X$1</f>
        <v>538.02</v>
      </c>
      <c r="H356" s="607"/>
      <c r="I356" s="607"/>
      <c r="J356" s="607"/>
      <c r="K356" s="278"/>
      <c r="L356" s="607">
        <f t="shared" si="989"/>
        <v>698.02</v>
      </c>
      <c r="M356" s="278">
        <f t="shared" si="990"/>
        <v>698.02</v>
      </c>
      <c r="N356" s="607">
        <f t="shared" si="991"/>
        <v>638.02</v>
      </c>
      <c r="O356" s="278">
        <f t="shared" si="992"/>
        <v>638.02</v>
      </c>
      <c r="P356" s="607">
        <f t="shared" si="993"/>
        <v>613.02</v>
      </c>
      <c r="Q356" s="278">
        <f t="shared" si="994"/>
        <v>613.02</v>
      </c>
      <c r="R356" s="607">
        <f t="shared" si="995"/>
        <v>603.02</v>
      </c>
      <c r="S356" s="278">
        <f t="shared" si="996"/>
        <v>603.02</v>
      </c>
      <c r="T356" s="100">
        <f t="shared" si="997"/>
        <v>588.02</v>
      </c>
      <c r="U356" s="251">
        <f t="shared" si="998"/>
        <v>588.02</v>
      </c>
      <c r="V356" s="100">
        <f t="shared" si="999"/>
        <v>576.02</v>
      </c>
      <c r="W356" s="251">
        <f t="shared" si="1000"/>
        <v>576.02</v>
      </c>
      <c r="X356" s="131"/>
      <c r="Y356" s="131"/>
      <c r="Z356" s="131"/>
      <c r="AA356" s="134"/>
      <c r="AB356" s="385">
        <v>2207</v>
      </c>
    </row>
    <row r="357" spans="1:31" ht="12.6" customHeight="1" x14ac:dyDescent="0.2">
      <c r="A357" s="95"/>
      <c r="B357" s="672" t="s">
        <v>235</v>
      </c>
      <c r="C357" s="745"/>
      <c r="D357" s="745"/>
      <c r="E357" s="745"/>
      <c r="F357" s="365">
        <f>0.3*X2</f>
        <v>329.4</v>
      </c>
      <c r="G357" s="335">
        <f>+F357*$X$1</f>
        <v>329.4</v>
      </c>
      <c r="H357" s="93"/>
      <c r="I357" s="93"/>
      <c r="J357" s="93"/>
      <c r="K357" s="281"/>
      <c r="L357" s="440">
        <f t="shared" si="989"/>
        <v>489.4</v>
      </c>
      <c r="M357" s="279">
        <f t="shared" si="990"/>
        <v>489.4</v>
      </c>
      <c r="N357" s="440">
        <f t="shared" si="991"/>
        <v>429.4</v>
      </c>
      <c r="O357" s="279">
        <f t="shared" si="992"/>
        <v>429.4</v>
      </c>
      <c r="P357" s="440">
        <f t="shared" si="993"/>
        <v>404.4</v>
      </c>
      <c r="Q357" s="279">
        <f t="shared" si="994"/>
        <v>404.4</v>
      </c>
      <c r="R357" s="440">
        <f t="shared" si="995"/>
        <v>394.4</v>
      </c>
      <c r="S357" s="279">
        <f t="shared" si="996"/>
        <v>394.4</v>
      </c>
      <c r="T357" s="99">
        <f t="shared" si="997"/>
        <v>379.4</v>
      </c>
      <c r="U357" s="294">
        <f t="shared" si="998"/>
        <v>379.4</v>
      </c>
      <c r="V357" s="99">
        <f t="shared" si="999"/>
        <v>367.4</v>
      </c>
      <c r="W357" s="294">
        <f t="shared" si="1000"/>
        <v>367.4</v>
      </c>
      <c r="X357" s="131"/>
      <c r="Y357" s="131"/>
      <c r="Z357" s="131"/>
      <c r="AA357" s="134"/>
      <c r="AB357" s="385">
        <v>2209</v>
      </c>
    </row>
    <row r="358" spans="1:31" ht="12.6" customHeight="1" x14ac:dyDescent="0.2">
      <c r="A358" s="95"/>
      <c r="B358" s="1176" t="s">
        <v>236</v>
      </c>
      <c r="C358" s="1177"/>
      <c r="D358" s="1177"/>
      <c r="E358" s="1177"/>
      <c r="F358" s="364">
        <f>4.17*X2</f>
        <v>4578.66</v>
      </c>
      <c r="G358" s="278">
        <f t="shared" ref="G358" si="1003">+F358*$X$1</f>
        <v>4578.66</v>
      </c>
      <c r="H358" s="607">
        <f t="shared" ref="H358" si="1004">F358+600</f>
        <v>5178.66</v>
      </c>
      <c r="I358" s="278">
        <f t="shared" ref="I358" si="1005">+H358*$X$1</f>
        <v>5178.66</v>
      </c>
      <c r="J358" s="607">
        <f t="shared" ref="J358" si="1006">F358+200</f>
        <v>4778.66</v>
      </c>
      <c r="K358" s="278">
        <f t="shared" ref="K358" si="1007">+J358*$X$1</f>
        <v>4778.66</v>
      </c>
      <c r="L358" s="607">
        <f>F358+150</f>
        <v>4728.66</v>
      </c>
      <c r="M358" s="278">
        <f t="shared" si="990"/>
        <v>4728.66</v>
      </c>
      <c r="N358" s="607">
        <f>F358+110</f>
        <v>4688.66</v>
      </c>
      <c r="O358" s="278">
        <f>+N358*$X$1</f>
        <v>4688.66</v>
      </c>
      <c r="P358" s="607">
        <f>F358+90</f>
        <v>4668.66</v>
      </c>
      <c r="Q358" s="278">
        <f t="shared" si="994"/>
        <v>4668.66</v>
      </c>
      <c r="R358" s="607">
        <f>F358+70</f>
        <v>4648.66</v>
      </c>
      <c r="S358" s="278">
        <f>+R358*$X$1</f>
        <v>4648.66</v>
      </c>
      <c r="T358" s="607">
        <f>F358+56</f>
        <v>4634.66</v>
      </c>
      <c r="U358" s="278">
        <f t="shared" si="998"/>
        <v>4634.66</v>
      </c>
      <c r="V358" s="607">
        <f>F358+49</f>
        <v>4627.66</v>
      </c>
      <c r="W358" s="278">
        <f t="shared" si="1000"/>
        <v>4627.66</v>
      </c>
      <c r="X358" s="671"/>
      <c r="Y358" s="652"/>
      <c r="Z358" s="652"/>
      <c r="AA358" s="653"/>
      <c r="AB358" s="385">
        <v>2216</v>
      </c>
      <c r="AC358" s="64"/>
    </row>
    <row r="359" spans="1:31" ht="12.6" customHeight="1" x14ac:dyDescent="0.2">
      <c r="A359" s="101"/>
      <c r="B359" s="751" t="s">
        <v>353</v>
      </c>
      <c r="C359" s="752"/>
      <c r="D359" s="752"/>
      <c r="E359" s="752"/>
      <c r="F359" s="515">
        <v>1350</v>
      </c>
      <c r="G359" s="511">
        <f>+F359*$X$1</f>
        <v>1350</v>
      </c>
      <c r="H359" s="604">
        <f t="shared" ref="H359" si="1008">F359+600</f>
        <v>1950</v>
      </c>
      <c r="I359" s="511">
        <f t="shared" ref="I359" si="1009">+H359*$X$1</f>
        <v>1950</v>
      </c>
      <c r="J359" s="604">
        <f t="shared" ref="J359" si="1010">F359+200</f>
        <v>1550</v>
      </c>
      <c r="K359" s="511">
        <f t="shared" ref="K359" si="1011">+J359*$X$1</f>
        <v>1550</v>
      </c>
      <c r="L359" s="604">
        <f>F359+150</f>
        <v>1500</v>
      </c>
      <c r="M359" s="511">
        <f t="shared" ref="M359" si="1012">+L359*$X$1</f>
        <v>1500</v>
      </c>
      <c r="N359" s="604">
        <f>F359+110</f>
        <v>1460</v>
      </c>
      <c r="O359" s="511">
        <f>+N359*$X$1</f>
        <v>1460</v>
      </c>
      <c r="P359" s="513"/>
      <c r="Q359" s="1206" t="s">
        <v>148</v>
      </c>
      <c r="R359" s="1207"/>
      <c r="S359" s="1207"/>
      <c r="T359" s="1207"/>
      <c r="U359" s="1207"/>
      <c r="V359" s="1207"/>
      <c r="W359" s="1208"/>
      <c r="X359" s="671"/>
      <c r="Y359" s="652"/>
      <c r="Z359" s="652"/>
      <c r="AA359" s="653"/>
      <c r="AB359" s="385">
        <v>2222</v>
      </c>
    </row>
    <row r="360" spans="1:31" ht="12.6" customHeight="1" x14ac:dyDescent="0.2">
      <c r="A360" s="18"/>
      <c r="B360" s="1023" t="s">
        <v>673</v>
      </c>
      <c r="C360" s="1024"/>
      <c r="D360" s="1024"/>
      <c r="E360" s="1025"/>
      <c r="F360" s="369">
        <f>0.59*X2</f>
        <v>647.81999999999994</v>
      </c>
      <c r="G360" s="278">
        <f t="shared" ref="G360" si="1013">+F360*$X$1</f>
        <v>647.81999999999994</v>
      </c>
      <c r="H360" s="272"/>
      <c r="I360" s="272"/>
      <c r="J360" s="607"/>
      <c r="K360" s="607"/>
      <c r="L360" s="607">
        <f t="shared" ref="L360:L362" si="1014">F360+160</f>
        <v>807.81999999999994</v>
      </c>
      <c r="M360" s="278">
        <f t="shared" ref="M360:M363" si="1015">+L360*$X$1</f>
        <v>807.81999999999994</v>
      </c>
      <c r="N360" s="607">
        <f t="shared" ref="N360:N362" si="1016">F360+100</f>
        <v>747.81999999999994</v>
      </c>
      <c r="O360" s="278">
        <f t="shared" ref="O360:O363" si="1017">+N360*$X$1</f>
        <v>747.81999999999994</v>
      </c>
      <c r="P360" s="607">
        <f t="shared" ref="P360:P362" si="1018">F360+75</f>
        <v>722.81999999999994</v>
      </c>
      <c r="Q360" s="278">
        <f t="shared" ref="Q360:Q363" si="1019">+P360*$X$1</f>
        <v>722.81999999999994</v>
      </c>
      <c r="R360" s="607">
        <f t="shared" ref="R360:R362" si="1020">F360+65</f>
        <v>712.81999999999994</v>
      </c>
      <c r="S360" s="278">
        <f t="shared" ref="S360:S363" si="1021">+R360*$X$1</f>
        <v>712.81999999999994</v>
      </c>
      <c r="T360" s="100">
        <f t="shared" ref="T360:T362" si="1022">F360+50</f>
        <v>697.81999999999994</v>
      </c>
      <c r="U360" s="251">
        <f t="shared" ref="U360:U363" si="1023">+T360*$X$1</f>
        <v>697.81999999999994</v>
      </c>
      <c r="V360" s="100">
        <f t="shared" ref="V360:V362" si="1024">F360+38</f>
        <v>685.81999999999994</v>
      </c>
      <c r="W360" s="251">
        <f t="shared" ref="W360:W362" si="1025">+V360*$X$1</f>
        <v>685.81999999999994</v>
      </c>
      <c r="X360" s="425"/>
      <c r="Y360" s="424"/>
      <c r="Z360" s="424"/>
      <c r="AA360" s="425"/>
      <c r="AB360" s="385">
        <v>2231</v>
      </c>
      <c r="AC360" s="64"/>
    </row>
    <row r="361" spans="1:31" ht="12.6" customHeight="1" x14ac:dyDescent="0.2">
      <c r="A361" s="18"/>
      <c r="B361" s="687" t="s">
        <v>685</v>
      </c>
      <c r="C361" s="688"/>
      <c r="D361" s="688"/>
      <c r="E361" s="689"/>
      <c r="F361" s="368">
        <f>0.57*X2</f>
        <v>625.8599999999999</v>
      </c>
      <c r="G361" s="279">
        <f t="shared" ref="G361" si="1026">+F361*$X$1</f>
        <v>625.8599999999999</v>
      </c>
      <c r="H361" s="271"/>
      <c r="I361" s="271"/>
      <c r="J361" s="440"/>
      <c r="K361" s="440"/>
      <c r="L361" s="440">
        <f t="shared" si="1014"/>
        <v>785.8599999999999</v>
      </c>
      <c r="M361" s="279">
        <f t="shared" si="1015"/>
        <v>785.8599999999999</v>
      </c>
      <c r="N361" s="440">
        <f t="shared" si="1016"/>
        <v>725.8599999999999</v>
      </c>
      <c r="O361" s="279">
        <f t="shared" si="1017"/>
        <v>725.8599999999999</v>
      </c>
      <c r="P361" s="440">
        <f t="shared" si="1018"/>
        <v>700.8599999999999</v>
      </c>
      <c r="Q361" s="279">
        <f t="shared" si="1019"/>
        <v>700.8599999999999</v>
      </c>
      <c r="R361" s="440">
        <f t="shared" si="1020"/>
        <v>690.8599999999999</v>
      </c>
      <c r="S361" s="279">
        <f t="shared" si="1021"/>
        <v>690.8599999999999</v>
      </c>
      <c r="T361" s="99">
        <f t="shared" si="1022"/>
        <v>675.8599999999999</v>
      </c>
      <c r="U361" s="294">
        <f t="shared" si="1023"/>
        <v>675.8599999999999</v>
      </c>
      <c r="V361" s="99">
        <f t="shared" si="1024"/>
        <v>663.8599999999999</v>
      </c>
      <c r="W361" s="294">
        <f t="shared" si="1025"/>
        <v>663.8599999999999</v>
      </c>
      <c r="X361" s="430"/>
      <c r="Y361" s="429"/>
      <c r="Z361" s="429"/>
      <c r="AA361" s="430"/>
      <c r="AB361" s="385">
        <v>2232</v>
      </c>
      <c r="AC361" s="64"/>
    </row>
    <row r="362" spans="1:31" ht="12.6" customHeight="1" x14ac:dyDescent="0.2">
      <c r="A362" s="18"/>
      <c r="B362" s="1023" t="s">
        <v>757</v>
      </c>
      <c r="C362" s="1024"/>
      <c r="D362" s="1024"/>
      <c r="E362" s="1025"/>
      <c r="F362" s="369">
        <f>0.98*X2</f>
        <v>1076.04</v>
      </c>
      <c r="G362" s="278">
        <f t="shared" ref="G362" si="1027">+F362*$X$1</f>
        <v>1076.04</v>
      </c>
      <c r="H362" s="272"/>
      <c r="I362" s="272"/>
      <c r="J362" s="607"/>
      <c r="K362" s="607"/>
      <c r="L362" s="607">
        <f t="shared" si="1014"/>
        <v>1236.04</v>
      </c>
      <c r="M362" s="278">
        <f t="shared" si="1015"/>
        <v>1236.04</v>
      </c>
      <c r="N362" s="607">
        <f t="shared" si="1016"/>
        <v>1176.04</v>
      </c>
      <c r="O362" s="278">
        <f t="shared" si="1017"/>
        <v>1176.04</v>
      </c>
      <c r="P362" s="607">
        <f t="shared" si="1018"/>
        <v>1151.04</v>
      </c>
      <c r="Q362" s="278">
        <f t="shared" si="1019"/>
        <v>1151.04</v>
      </c>
      <c r="R362" s="607">
        <f t="shared" si="1020"/>
        <v>1141.04</v>
      </c>
      <c r="S362" s="278">
        <f t="shared" si="1021"/>
        <v>1141.04</v>
      </c>
      <c r="T362" s="100">
        <f t="shared" si="1022"/>
        <v>1126.04</v>
      </c>
      <c r="U362" s="251">
        <f t="shared" si="1023"/>
        <v>1126.04</v>
      </c>
      <c r="V362" s="100">
        <f t="shared" si="1024"/>
        <v>1114.04</v>
      </c>
      <c r="W362" s="251">
        <f t="shared" si="1025"/>
        <v>1114.04</v>
      </c>
      <c r="X362" s="430"/>
      <c r="Y362" s="429"/>
      <c r="Z362" s="429"/>
      <c r="AA362" s="430"/>
      <c r="AB362" s="385">
        <v>2233</v>
      </c>
      <c r="AC362" s="64"/>
    </row>
    <row r="363" spans="1:31" ht="12.6" customHeight="1" x14ac:dyDescent="0.2">
      <c r="A363" s="95"/>
      <c r="B363" s="751" t="s">
        <v>758</v>
      </c>
      <c r="C363" s="1016"/>
      <c r="D363" s="1016"/>
      <c r="E363" s="1016"/>
      <c r="F363" s="515">
        <f>0.4*X2</f>
        <v>439.20000000000005</v>
      </c>
      <c r="G363" s="511">
        <f t="shared" ref="G363:G373" si="1028">+F363*$X$1</f>
        <v>439.20000000000005</v>
      </c>
      <c r="H363" s="604"/>
      <c r="I363" s="511"/>
      <c r="J363" s="604"/>
      <c r="K363" s="511"/>
      <c r="L363" s="604">
        <f>F363+240</f>
        <v>679.2</v>
      </c>
      <c r="M363" s="511">
        <f t="shared" si="1015"/>
        <v>679.2</v>
      </c>
      <c r="N363" s="604">
        <f>F363+160</f>
        <v>599.20000000000005</v>
      </c>
      <c r="O363" s="511">
        <f t="shared" si="1017"/>
        <v>599.20000000000005</v>
      </c>
      <c r="P363" s="604">
        <f>F363+120</f>
        <v>559.20000000000005</v>
      </c>
      <c r="Q363" s="511">
        <f t="shared" si="1019"/>
        <v>559.20000000000005</v>
      </c>
      <c r="R363" s="604">
        <f>F363+100</f>
        <v>539.20000000000005</v>
      </c>
      <c r="S363" s="511">
        <f t="shared" si="1021"/>
        <v>539.20000000000005</v>
      </c>
      <c r="T363" s="628">
        <f>F363+80</f>
        <v>519.20000000000005</v>
      </c>
      <c r="U363" s="627">
        <f t="shared" si="1023"/>
        <v>519.20000000000005</v>
      </c>
      <c r="V363" s="628"/>
      <c r="W363" s="627"/>
      <c r="X363" s="135"/>
      <c r="Y363" s="131"/>
      <c r="Z363" s="131"/>
      <c r="AA363" s="134"/>
      <c r="AB363" s="385">
        <v>2234</v>
      </c>
    </row>
    <row r="364" spans="1:31" ht="12.6" customHeight="1" x14ac:dyDescent="0.2">
      <c r="A364" s="95"/>
      <c r="B364" s="690" t="s">
        <v>759</v>
      </c>
      <c r="C364" s="943"/>
      <c r="D364" s="943"/>
      <c r="E364" s="943"/>
      <c r="F364" s="364">
        <f>0.56*X2</f>
        <v>614.88000000000011</v>
      </c>
      <c r="G364" s="278">
        <f t="shared" si="1028"/>
        <v>614.88000000000011</v>
      </c>
      <c r="H364" s="272"/>
      <c r="I364" s="330"/>
      <c r="J364" s="607"/>
      <c r="K364" s="278"/>
      <c r="L364" s="607">
        <f>F364+240</f>
        <v>854.88000000000011</v>
      </c>
      <c r="M364" s="278">
        <f t="shared" ref="M364:M370" si="1029">+L364*$X$1</f>
        <v>854.88000000000011</v>
      </c>
      <c r="N364" s="607">
        <f>F364+160</f>
        <v>774.88000000000011</v>
      </c>
      <c r="O364" s="278">
        <f t="shared" ref="O364:O376" si="1030">+N364*$X$1</f>
        <v>774.88000000000011</v>
      </c>
      <c r="P364" s="607">
        <f>F364+120</f>
        <v>734.88000000000011</v>
      </c>
      <c r="Q364" s="278">
        <f t="shared" ref="Q364:Q376" si="1031">+P364*$X$1</f>
        <v>734.88000000000011</v>
      </c>
      <c r="R364" s="607">
        <f>F364+100</f>
        <v>714.88000000000011</v>
      </c>
      <c r="S364" s="278">
        <f t="shared" ref="S364:S376" si="1032">+R364*$X$1</f>
        <v>714.88000000000011</v>
      </c>
      <c r="T364" s="100">
        <f>F364+80</f>
        <v>694.88000000000011</v>
      </c>
      <c r="U364" s="251">
        <f t="shared" ref="U364:U371" si="1033">+T364*$X$1</f>
        <v>694.88000000000011</v>
      </c>
      <c r="V364" s="100">
        <f>F364+63</f>
        <v>677.88000000000011</v>
      </c>
      <c r="W364" s="251">
        <f t="shared" ref="W364:W365" si="1034">+V364*$X$1</f>
        <v>677.88000000000011</v>
      </c>
      <c r="X364" s="135"/>
      <c r="Y364" s="131"/>
      <c r="Z364" s="131"/>
      <c r="AA364" s="134"/>
      <c r="AB364" s="385" t="s">
        <v>237</v>
      </c>
    </row>
    <row r="365" spans="1:31" ht="12.6" customHeight="1" x14ac:dyDescent="0.2">
      <c r="A365" s="18"/>
      <c r="B365" s="687" t="s">
        <v>797</v>
      </c>
      <c r="C365" s="688"/>
      <c r="D365" s="688"/>
      <c r="E365" s="689"/>
      <c r="F365" s="368">
        <f>0.372*X2</f>
        <v>408.45600000000002</v>
      </c>
      <c r="G365" s="279">
        <f t="shared" si="1028"/>
        <v>408.45600000000002</v>
      </c>
      <c r="H365" s="271"/>
      <c r="I365" s="271"/>
      <c r="J365" s="440"/>
      <c r="K365" s="440"/>
      <c r="L365" s="440">
        <f t="shared" ref="L365" si="1035">F365+160</f>
        <v>568.45600000000002</v>
      </c>
      <c r="M365" s="279">
        <f t="shared" ref="M365" si="1036">+L365*$X$1</f>
        <v>568.45600000000002</v>
      </c>
      <c r="N365" s="440">
        <f t="shared" ref="N365" si="1037">F365+100</f>
        <v>508.45600000000002</v>
      </c>
      <c r="O365" s="279">
        <f t="shared" ref="O365" si="1038">+N365*$X$1</f>
        <v>508.45600000000002</v>
      </c>
      <c r="P365" s="440">
        <f t="shared" ref="P365" si="1039">F365+75</f>
        <v>483.45600000000002</v>
      </c>
      <c r="Q365" s="279">
        <f t="shared" ref="Q365" si="1040">+P365*$X$1</f>
        <v>483.45600000000002</v>
      </c>
      <c r="R365" s="440">
        <f t="shared" ref="R365" si="1041">F365+65</f>
        <v>473.45600000000002</v>
      </c>
      <c r="S365" s="279">
        <f t="shared" ref="S365" si="1042">+R365*$X$1</f>
        <v>473.45600000000002</v>
      </c>
      <c r="T365" s="99">
        <f t="shared" ref="T365" si="1043">F365+50</f>
        <v>458.45600000000002</v>
      </c>
      <c r="U365" s="294">
        <f t="shared" ref="U365" si="1044">+T365*$X$1</f>
        <v>458.45600000000002</v>
      </c>
      <c r="V365" s="99">
        <f t="shared" ref="V365" si="1045">F365+38</f>
        <v>446.45600000000002</v>
      </c>
      <c r="W365" s="294">
        <f t="shared" si="1034"/>
        <v>446.45600000000002</v>
      </c>
      <c r="X365" s="448"/>
      <c r="Y365" s="449"/>
      <c r="Z365" s="449"/>
      <c r="AA365" s="448"/>
      <c r="AB365" s="385">
        <v>2235</v>
      </c>
      <c r="AC365" s="64"/>
    </row>
    <row r="366" spans="1:31" ht="12.6" customHeight="1" x14ac:dyDescent="0.2">
      <c r="A366" s="18"/>
      <c r="B366" s="1023" t="s">
        <v>838</v>
      </c>
      <c r="C366" s="1024"/>
      <c r="D366" s="1024"/>
      <c r="E366" s="1025"/>
      <c r="F366" s="369">
        <f>0.71*X2</f>
        <v>779.57999999999993</v>
      </c>
      <c r="G366" s="278">
        <f t="shared" ref="G366" si="1046">+F366*$X$1</f>
        <v>779.57999999999993</v>
      </c>
      <c r="H366" s="272"/>
      <c r="I366" s="272"/>
      <c r="J366" s="607"/>
      <c r="K366" s="607"/>
      <c r="L366" s="607">
        <f t="shared" ref="L366:L370" si="1047">F366+160</f>
        <v>939.57999999999993</v>
      </c>
      <c r="M366" s="278">
        <f t="shared" si="1029"/>
        <v>939.57999999999993</v>
      </c>
      <c r="N366" s="607">
        <f t="shared" ref="N366:N371" si="1048">F366+100</f>
        <v>879.57999999999993</v>
      </c>
      <c r="O366" s="278">
        <f t="shared" si="1030"/>
        <v>879.57999999999993</v>
      </c>
      <c r="P366" s="607">
        <f t="shared" ref="P366:P371" si="1049">F366+75</f>
        <v>854.57999999999993</v>
      </c>
      <c r="Q366" s="278">
        <f t="shared" si="1031"/>
        <v>854.57999999999993</v>
      </c>
      <c r="R366" s="607">
        <f t="shared" ref="R366:R371" si="1050">F366+65</f>
        <v>844.57999999999993</v>
      </c>
      <c r="S366" s="278">
        <f t="shared" si="1032"/>
        <v>844.57999999999993</v>
      </c>
      <c r="T366" s="100">
        <f t="shared" ref="T366:T371" si="1051">F366+50</f>
        <v>829.57999999999993</v>
      </c>
      <c r="U366" s="251">
        <f t="shared" si="1033"/>
        <v>829.57999999999993</v>
      </c>
      <c r="V366" s="100">
        <f t="shared" ref="V366:V371" si="1052">F366+38</f>
        <v>817.57999999999993</v>
      </c>
      <c r="W366" s="251">
        <f t="shared" ref="W366:W371" si="1053">+V366*$X$1</f>
        <v>817.57999999999993</v>
      </c>
      <c r="X366" s="488"/>
      <c r="Y366" s="489"/>
      <c r="Z366" s="489"/>
      <c r="AA366" s="488"/>
      <c r="AB366" s="385">
        <v>2236</v>
      </c>
      <c r="AC366" s="64"/>
    </row>
    <row r="367" spans="1:31" ht="12.6" customHeight="1" x14ac:dyDescent="0.2">
      <c r="A367" s="95"/>
      <c r="B367" s="672" t="s">
        <v>238</v>
      </c>
      <c r="C367" s="673"/>
      <c r="D367" s="673"/>
      <c r="E367" s="673"/>
      <c r="F367" s="365">
        <f>0.42*X2</f>
        <v>461.15999999999997</v>
      </c>
      <c r="G367" s="279">
        <f t="shared" si="1028"/>
        <v>461.15999999999997</v>
      </c>
      <c r="H367" s="271"/>
      <c r="I367" s="331"/>
      <c r="J367" s="440"/>
      <c r="K367" s="279"/>
      <c r="L367" s="440">
        <f t="shared" si="1047"/>
        <v>621.16</v>
      </c>
      <c r="M367" s="279">
        <f t="shared" si="1029"/>
        <v>621.16</v>
      </c>
      <c r="N367" s="440">
        <f t="shared" si="1048"/>
        <v>561.16</v>
      </c>
      <c r="O367" s="279">
        <f t="shared" si="1030"/>
        <v>561.16</v>
      </c>
      <c r="P367" s="440">
        <f t="shared" si="1049"/>
        <v>536.16</v>
      </c>
      <c r="Q367" s="279">
        <f t="shared" si="1031"/>
        <v>536.16</v>
      </c>
      <c r="R367" s="440">
        <f t="shared" si="1050"/>
        <v>526.16</v>
      </c>
      <c r="S367" s="279">
        <f t="shared" si="1032"/>
        <v>526.16</v>
      </c>
      <c r="T367" s="99">
        <f t="shared" si="1051"/>
        <v>511.15999999999997</v>
      </c>
      <c r="U367" s="294">
        <f t="shared" si="1033"/>
        <v>511.15999999999997</v>
      </c>
      <c r="V367" s="99">
        <f t="shared" si="1052"/>
        <v>499.15999999999997</v>
      </c>
      <c r="W367" s="294">
        <f t="shared" si="1053"/>
        <v>499.15999999999997</v>
      </c>
      <c r="X367" s="135"/>
      <c r="Y367" s="131"/>
      <c r="Z367" s="131"/>
      <c r="AA367" s="134"/>
      <c r="AB367" s="385">
        <v>2238</v>
      </c>
    </row>
    <row r="368" spans="1:31" ht="12.6" customHeight="1" x14ac:dyDescent="0.2">
      <c r="A368" s="101"/>
      <c r="B368" s="733" t="s">
        <v>239</v>
      </c>
      <c r="C368" s="734"/>
      <c r="D368" s="734"/>
      <c r="E368" s="735"/>
      <c r="F368" s="364">
        <f>0.428*X2</f>
        <v>469.94400000000002</v>
      </c>
      <c r="G368" s="278">
        <f t="shared" si="1028"/>
        <v>469.94400000000002</v>
      </c>
      <c r="H368" s="272"/>
      <c r="I368" s="330"/>
      <c r="J368" s="607"/>
      <c r="K368" s="278"/>
      <c r="L368" s="607">
        <f t="shared" si="1047"/>
        <v>629.94399999999996</v>
      </c>
      <c r="M368" s="278">
        <f t="shared" si="1029"/>
        <v>629.94399999999996</v>
      </c>
      <c r="N368" s="607">
        <f t="shared" si="1048"/>
        <v>569.94399999999996</v>
      </c>
      <c r="O368" s="278">
        <f t="shared" si="1030"/>
        <v>569.94399999999996</v>
      </c>
      <c r="P368" s="607">
        <f t="shared" si="1049"/>
        <v>544.94399999999996</v>
      </c>
      <c r="Q368" s="278">
        <f t="shared" si="1031"/>
        <v>544.94399999999996</v>
      </c>
      <c r="R368" s="607">
        <f t="shared" si="1050"/>
        <v>534.94399999999996</v>
      </c>
      <c r="S368" s="278">
        <f t="shared" si="1032"/>
        <v>534.94399999999996</v>
      </c>
      <c r="T368" s="100">
        <f t="shared" si="1051"/>
        <v>519.94399999999996</v>
      </c>
      <c r="U368" s="251">
        <f t="shared" si="1033"/>
        <v>519.94399999999996</v>
      </c>
      <c r="V368" s="100">
        <f t="shared" si="1052"/>
        <v>507.94400000000002</v>
      </c>
      <c r="W368" s="251">
        <f t="shared" si="1053"/>
        <v>507.94400000000002</v>
      </c>
      <c r="X368" s="135"/>
      <c r="Y368" s="131"/>
      <c r="Z368" s="131"/>
      <c r="AA368" s="134"/>
      <c r="AB368" s="385">
        <v>2239</v>
      </c>
    </row>
    <row r="369" spans="1:29" ht="12.6" customHeight="1" x14ac:dyDescent="0.2">
      <c r="A369" s="18"/>
      <c r="B369" s="655" t="s">
        <v>952</v>
      </c>
      <c r="C369" s="656"/>
      <c r="D369" s="656"/>
      <c r="E369" s="656"/>
      <c r="F369" s="365">
        <f>0.431*X2</f>
        <v>473.238</v>
      </c>
      <c r="G369" s="279">
        <f t="shared" si="1028"/>
        <v>473.238</v>
      </c>
      <c r="H369" s="271"/>
      <c r="I369" s="331"/>
      <c r="J369" s="440"/>
      <c r="K369" s="279"/>
      <c r="L369" s="440">
        <f t="shared" si="1047"/>
        <v>633.23800000000006</v>
      </c>
      <c r="M369" s="279">
        <f t="shared" si="1029"/>
        <v>633.23800000000006</v>
      </c>
      <c r="N369" s="440">
        <f t="shared" si="1048"/>
        <v>573.23800000000006</v>
      </c>
      <c r="O369" s="279">
        <f t="shared" si="1030"/>
        <v>573.23800000000006</v>
      </c>
      <c r="P369" s="440">
        <f t="shared" si="1049"/>
        <v>548.23800000000006</v>
      </c>
      <c r="Q369" s="279">
        <f t="shared" si="1031"/>
        <v>548.23800000000006</v>
      </c>
      <c r="R369" s="440">
        <f t="shared" si="1050"/>
        <v>538.23800000000006</v>
      </c>
      <c r="S369" s="279">
        <f t="shared" si="1032"/>
        <v>538.23800000000006</v>
      </c>
      <c r="T369" s="99">
        <f t="shared" si="1051"/>
        <v>523.23800000000006</v>
      </c>
      <c r="U369" s="294">
        <f t="shared" si="1033"/>
        <v>523.23800000000006</v>
      </c>
      <c r="V369" s="99">
        <f t="shared" si="1052"/>
        <v>511.238</v>
      </c>
      <c r="W369" s="294">
        <f t="shared" si="1053"/>
        <v>511.238</v>
      </c>
      <c r="X369" s="135"/>
      <c r="Y369" s="131"/>
      <c r="Z369" s="131"/>
      <c r="AA369" s="134"/>
      <c r="AB369" s="385">
        <v>2240</v>
      </c>
    </row>
    <row r="370" spans="1:29" ht="12.6" customHeight="1" x14ac:dyDescent="0.2">
      <c r="A370" s="18"/>
      <c r="B370" s="655" t="s">
        <v>876</v>
      </c>
      <c r="C370" s="656"/>
      <c r="D370" s="656"/>
      <c r="E370" s="656"/>
      <c r="F370" s="364">
        <f>0.34*X2</f>
        <v>373.32000000000005</v>
      </c>
      <c r="G370" s="278">
        <f t="shared" ref="G370" si="1054">+F370*$X$1</f>
        <v>373.32000000000005</v>
      </c>
      <c r="H370" s="272"/>
      <c r="I370" s="330"/>
      <c r="J370" s="607"/>
      <c r="K370" s="278"/>
      <c r="L370" s="607">
        <f t="shared" si="1047"/>
        <v>533.32000000000005</v>
      </c>
      <c r="M370" s="278">
        <f t="shared" si="1029"/>
        <v>533.32000000000005</v>
      </c>
      <c r="N370" s="607">
        <f t="shared" si="1048"/>
        <v>473.32000000000005</v>
      </c>
      <c r="O370" s="278">
        <f t="shared" si="1030"/>
        <v>473.32000000000005</v>
      </c>
      <c r="P370" s="607">
        <f t="shared" si="1049"/>
        <v>448.32000000000005</v>
      </c>
      <c r="Q370" s="278">
        <f t="shared" si="1031"/>
        <v>448.32000000000005</v>
      </c>
      <c r="R370" s="607">
        <f t="shared" si="1050"/>
        <v>438.32000000000005</v>
      </c>
      <c r="S370" s="278">
        <f t="shared" si="1032"/>
        <v>438.32000000000005</v>
      </c>
      <c r="T370" s="100">
        <f t="shared" si="1051"/>
        <v>423.32000000000005</v>
      </c>
      <c r="U370" s="251">
        <f t="shared" si="1033"/>
        <v>423.32000000000005</v>
      </c>
      <c r="V370" s="100">
        <f t="shared" si="1052"/>
        <v>411.32000000000005</v>
      </c>
      <c r="W370" s="251">
        <f t="shared" si="1053"/>
        <v>411.32000000000005</v>
      </c>
      <c r="X370" s="135"/>
      <c r="Y370" s="131"/>
      <c r="Z370" s="131"/>
      <c r="AA370" s="134"/>
      <c r="AB370" s="385" t="s">
        <v>888</v>
      </c>
    </row>
    <row r="371" spans="1:29" ht="12.6" customHeight="1" x14ac:dyDescent="0.2">
      <c r="A371" s="18"/>
      <c r="B371" s="672" t="s">
        <v>803</v>
      </c>
      <c r="C371" s="673"/>
      <c r="D371" s="673"/>
      <c r="E371" s="673"/>
      <c r="F371" s="365">
        <f>0.21*X2</f>
        <v>230.57999999999998</v>
      </c>
      <c r="G371" s="279">
        <f t="shared" ref="G371:G372" si="1055">+F371*$X$1</f>
        <v>230.57999999999998</v>
      </c>
      <c r="H371" s="271"/>
      <c r="I371" s="331"/>
      <c r="J371" s="440"/>
      <c r="K371" s="279"/>
      <c r="L371" s="440"/>
      <c r="M371" s="279"/>
      <c r="N371" s="440">
        <f t="shared" si="1048"/>
        <v>330.58</v>
      </c>
      <c r="O371" s="279">
        <f t="shared" si="1030"/>
        <v>330.58</v>
      </c>
      <c r="P371" s="440">
        <f t="shared" si="1049"/>
        <v>305.58</v>
      </c>
      <c r="Q371" s="279">
        <f t="shared" si="1031"/>
        <v>305.58</v>
      </c>
      <c r="R371" s="440">
        <f t="shared" si="1050"/>
        <v>295.58</v>
      </c>
      <c r="S371" s="279">
        <f t="shared" si="1032"/>
        <v>295.58</v>
      </c>
      <c r="T371" s="99">
        <f t="shared" si="1051"/>
        <v>280.58</v>
      </c>
      <c r="U371" s="294">
        <f t="shared" si="1033"/>
        <v>280.58</v>
      </c>
      <c r="V371" s="99">
        <f t="shared" si="1052"/>
        <v>268.58</v>
      </c>
      <c r="W371" s="294">
        <f t="shared" si="1053"/>
        <v>268.58</v>
      </c>
      <c r="X371" s="135"/>
      <c r="Y371" s="131"/>
      <c r="Z371" s="131"/>
      <c r="AA371" s="134"/>
      <c r="AB371" s="385">
        <v>2241</v>
      </c>
    </row>
    <row r="372" spans="1:29" ht="12.6" customHeight="1" x14ac:dyDescent="0.2">
      <c r="A372" s="18"/>
      <c r="B372" s="690" t="s">
        <v>985</v>
      </c>
      <c r="C372" s="691"/>
      <c r="D372" s="691"/>
      <c r="E372" s="691"/>
      <c r="F372" s="364">
        <f>0.29*X2</f>
        <v>318.41999999999996</v>
      </c>
      <c r="G372" s="278">
        <f t="shared" si="1055"/>
        <v>318.41999999999996</v>
      </c>
      <c r="H372" s="272"/>
      <c r="I372" s="330"/>
      <c r="J372" s="607"/>
      <c r="K372" s="278"/>
      <c r="L372" s="607">
        <f t="shared" ref="L372:L376" si="1056">F372+160</f>
        <v>478.41999999999996</v>
      </c>
      <c r="M372" s="278">
        <f t="shared" ref="M372:M376" si="1057">+L372*$X$1</f>
        <v>478.41999999999996</v>
      </c>
      <c r="N372" s="607">
        <f t="shared" ref="N372:N376" si="1058">F372+100</f>
        <v>418.41999999999996</v>
      </c>
      <c r="O372" s="278">
        <f t="shared" si="1030"/>
        <v>418.41999999999996</v>
      </c>
      <c r="P372" s="607">
        <f t="shared" ref="P372:P376" si="1059">F372+75</f>
        <v>393.41999999999996</v>
      </c>
      <c r="Q372" s="278">
        <f t="shared" si="1031"/>
        <v>393.41999999999996</v>
      </c>
      <c r="R372" s="607">
        <f t="shared" ref="R372:R376" si="1060">F372+65</f>
        <v>383.41999999999996</v>
      </c>
      <c r="S372" s="278">
        <f t="shared" si="1032"/>
        <v>383.41999999999996</v>
      </c>
      <c r="T372" s="100">
        <f t="shared" ref="T372:T376" si="1061">F372+50</f>
        <v>368.41999999999996</v>
      </c>
      <c r="U372" s="251">
        <f t="shared" ref="U372:U376" si="1062">+T372*$X$1</f>
        <v>368.41999999999996</v>
      </c>
      <c r="V372" s="100">
        <f t="shared" ref="V372:V376" si="1063">F372+38</f>
        <v>356.41999999999996</v>
      </c>
      <c r="W372" s="251">
        <f t="shared" ref="W372:W376" si="1064">+V372*$X$1</f>
        <v>356.41999999999996</v>
      </c>
      <c r="X372" s="135"/>
      <c r="Y372" s="131"/>
      <c r="Z372" s="131"/>
      <c r="AA372" s="134"/>
      <c r="AB372" s="385">
        <v>2242</v>
      </c>
    </row>
    <row r="373" spans="1:29" ht="12.6" customHeight="1" x14ac:dyDescent="0.2">
      <c r="A373" s="95"/>
      <c r="B373" s="751" t="s">
        <v>240</v>
      </c>
      <c r="C373" s="752"/>
      <c r="D373" s="752"/>
      <c r="E373" s="752"/>
      <c r="F373" s="515">
        <f>0.26*X2</f>
        <v>285.48</v>
      </c>
      <c r="G373" s="511">
        <f t="shared" si="1028"/>
        <v>285.48</v>
      </c>
      <c r="H373" s="512"/>
      <c r="I373" s="514"/>
      <c r="J373" s="604"/>
      <c r="K373" s="511"/>
      <c r="L373" s="604">
        <f t="shared" si="1056"/>
        <v>445.48</v>
      </c>
      <c r="M373" s="511">
        <f t="shared" si="1057"/>
        <v>445.48</v>
      </c>
      <c r="N373" s="604">
        <f t="shared" si="1058"/>
        <v>385.48</v>
      </c>
      <c r="O373" s="511">
        <f t="shared" si="1030"/>
        <v>385.48</v>
      </c>
      <c r="P373" s="604">
        <f t="shared" si="1059"/>
        <v>360.48</v>
      </c>
      <c r="Q373" s="511">
        <f t="shared" si="1031"/>
        <v>360.48</v>
      </c>
      <c r="R373" s="604">
        <f t="shared" si="1060"/>
        <v>350.48</v>
      </c>
      <c r="S373" s="511">
        <f t="shared" si="1032"/>
        <v>350.48</v>
      </c>
      <c r="T373" s="628">
        <f t="shared" si="1061"/>
        <v>335.48</v>
      </c>
      <c r="U373" s="627">
        <f t="shared" si="1062"/>
        <v>335.48</v>
      </c>
      <c r="V373" s="628">
        <f t="shared" si="1063"/>
        <v>323.48</v>
      </c>
      <c r="W373" s="627">
        <f t="shared" si="1064"/>
        <v>323.48</v>
      </c>
      <c r="X373" s="135"/>
      <c r="Y373" s="131"/>
      <c r="Z373" s="131"/>
      <c r="AA373" s="134"/>
      <c r="AB373" s="385">
        <v>2244</v>
      </c>
    </row>
    <row r="374" spans="1:29" ht="12.6" customHeight="1" x14ac:dyDescent="0.2">
      <c r="A374" s="18"/>
      <c r="B374" s="690" t="s">
        <v>806</v>
      </c>
      <c r="C374" s="691"/>
      <c r="D374" s="691"/>
      <c r="E374" s="691"/>
      <c r="F374" s="364">
        <f>0.29*X2</f>
        <v>318.41999999999996</v>
      </c>
      <c r="G374" s="278">
        <f t="shared" ref="G374:G375" si="1065">+F374*$X$1</f>
        <v>318.41999999999996</v>
      </c>
      <c r="H374" s="272"/>
      <c r="I374" s="330"/>
      <c r="J374" s="607"/>
      <c r="K374" s="278"/>
      <c r="L374" s="607">
        <f t="shared" si="1056"/>
        <v>478.41999999999996</v>
      </c>
      <c r="M374" s="278">
        <f t="shared" si="1057"/>
        <v>478.41999999999996</v>
      </c>
      <c r="N374" s="607">
        <f t="shared" si="1058"/>
        <v>418.41999999999996</v>
      </c>
      <c r="O374" s="278">
        <f t="shared" si="1030"/>
        <v>418.41999999999996</v>
      </c>
      <c r="P374" s="607">
        <f t="shared" si="1059"/>
        <v>393.41999999999996</v>
      </c>
      <c r="Q374" s="278">
        <f t="shared" si="1031"/>
        <v>393.41999999999996</v>
      </c>
      <c r="R374" s="607">
        <f t="shared" si="1060"/>
        <v>383.41999999999996</v>
      </c>
      <c r="S374" s="278">
        <f t="shared" si="1032"/>
        <v>383.41999999999996</v>
      </c>
      <c r="T374" s="100">
        <f t="shared" si="1061"/>
        <v>368.41999999999996</v>
      </c>
      <c r="U374" s="251">
        <f t="shared" si="1062"/>
        <v>368.41999999999996</v>
      </c>
      <c r="V374" s="100">
        <f t="shared" si="1063"/>
        <v>356.41999999999996</v>
      </c>
      <c r="W374" s="251">
        <f t="shared" si="1064"/>
        <v>356.41999999999996</v>
      </c>
      <c r="X374" s="135"/>
      <c r="Y374" s="131"/>
      <c r="Z374" s="131"/>
      <c r="AA374" s="134"/>
      <c r="AB374" s="385">
        <v>2245</v>
      </c>
    </row>
    <row r="375" spans="1:29" ht="12.6" customHeight="1" x14ac:dyDescent="0.2">
      <c r="A375" s="18"/>
      <c r="B375" s="672" t="s">
        <v>805</v>
      </c>
      <c r="C375" s="673"/>
      <c r="D375" s="673"/>
      <c r="E375" s="673"/>
      <c r="F375" s="365">
        <f>0.3*X2</f>
        <v>329.4</v>
      </c>
      <c r="G375" s="279">
        <f t="shared" si="1065"/>
        <v>329.4</v>
      </c>
      <c r="H375" s="271"/>
      <c r="I375" s="331"/>
      <c r="J375" s="440"/>
      <c r="K375" s="279"/>
      <c r="L375" s="440">
        <f t="shared" si="1056"/>
        <v>489.4</v>
      </c>
      <c r="M375" s="279">
        <f t="shared" si="1057"/>
        <v>489.4</v>
      </c>
      <c r="N375" s="440">
        <f t="shared" si="1058"/>
        <v>429.4</v>
      </c>
      <c r="O375" s="279">
        <f t="shared" si="1030"/>
        <v>429.4</v>
      </c>
      <c r="P375" s="440">
        <f t="shared" si="1059"/>
        <v>404.4</v>
      </c>
      <c r="Q375" s="279">
        <f t="shared" si="1031"/>
        <v>404.4</v>
      </c>
      <c r="R375" s="440">
        <f t="shared" si="1060"/>
        <v>394.4</v>
      </c>
      <c r="S375" s="279">
        <f t="shared" si="1032"/>
        <v>394.4</v>
      </c>
      <c r="T375" s="99">
        <f t="shared" si="1061"/>
        <v>379.4</v>
      </c>
      <c r="U375" s="294">
        <f t="shared" si="1062"/>
        <v>379.4</v>
      </c>
      <c r="V375" s="99">
        <f t="shared" si="1063"/>
        <v>367.4</v>
      </c>
      <c r="W375" s="294">
        <f t="shared" si="1064"/>
        <v>367.4</v>
      </c>
      <c r="X375" s="135"/>
      <c r="Y375" s="131"/>
      <c r="Z375" s="131"/>
      <c r="AA375" s="134"/>
      <c r="AB375" s="385" t="s">
        <v>804</v>
      </c>
    </row>
    <row r="376" spans="1:29" ht="12.6" customHeight="1" x14ac:dyDescent="0.2">
      <c r="A376" s="95"/>
      <c r="B376" s="690" t="s">
        <v>504</v>
      </c>
      <c r="C376" s="691"/>
      <c r="D376" s="691"/>
      <c r="E376" s="691"/>
      <c r="F376" s="319">
        <v>1410</v>
      </c>
      <c r="G376" s="278">
        <f>+F376*$X$1</f>
        <v>1410</v>
      </c>
      <c r="H376" s="272"/>
      <c r="I376" s="330"/>
      <c r="J376" s="607"/>
      <c r="K376" s="278"/>
      <c r="L376" s="607">
        <f t="shared" si="1056"/>
        <v>1570</v>
      </c>
      <c r="M376" s="278">
        <f t="shared" si="1057"/>
        <v>1570</v>
      </c>
      <c r="N376" s="607">
        <f t="shared" si="1058"/>
        <v>1510</v>
      </c>
      <c r="O376" s="278">
        <f t="shared" si="1030"/>
        <v>1510</v>
      </c>
      <c r="P376" s="607">
        <f t="shared" si="1059"/>
        <v>1485</v>
      </c>
      <c r="Q376" s="278">
        <f t="shared" si="1031"/>
        <v>1485</v>
      </c>
      <c r="R376" s="607">
        <f t="shared" si="1060"/>
        <v>1475</v>
      </c>
      <c r="S376" s="278">
        <f t="shared" si="1032"/>
        <v>1475</v>
      </c>
      <c r="T376" s="100">
        <f t="shared" si="1061"/>
        <v>1460</v>
      </c>
      <c r="U376" s="251">
        <f t="shared" si="1062"/>
        <v>1460</v>
      </c>
      <c r="V376" s="100">
        <f t="shared" si="1063"/>
        <v>1448</v>
      </c>
      <c r="W376" s="251">
        <f t="shared" si="1064"/>
        <v>1448</v>
      </c>
      <c r="X376" s="135"/>
      <c r="Y376" s="131"/>
      <c r="Z376" s="131"/>
      <c r="AA376" s="134"/>
      <c r="AB376" s="385">
        <v>2246</v>
      </c>
    </row>
    <row r="377" spans="1:29" ht="12.6" customHeight="1" x14ac:dyDescent="0.2">
      <c r="A377" s="18"/>
      <c r="B377" s="672" t="s">
        <v>816</v>
      </c>
      <c r="C377" s="673"/>
      <c r="D377" s="673"/>
      <c r="E377" s="673"/>
      <c r="F377" s="602">
        <f>2.7*X2</f>
        <v>2964.6000000000004</v>
      </c>
      <c r="G377" s="279">
        <f t="shared" ref="G377" si="1066">+F377*$X$1</f>
        <v>2964.6000000000004</v>
      </c>
      <c r="H377" s="271"/>
      <c r="I377" s="331"/>
      <c r="J377" s="440">
        <f>F377+210</f>
        <v>3174.6000000000004</v>
      </c>
      <c r="K377" s="279">
        <f t="shared" ref="K377" si="1067">+J377*$X$1</f>
        <v>3174.6000000000004</v>
      </c>
      <c r="L377" s="440">
        <f t="shared" ref="L377:L386" si="1068">F377+160</f>
        <v>3124.6000000000004</v>
      </c>
      <c r="M377" s="279">
        <f t="shared" ref="M377:M386" si="1069">+L377*$X$1</f>
        <v>3124.6000000000004</v>
      </c>
      <c r="N377" s="440">
        <f t="shared" ref="N377:N386" si="1070">F377+100</f>
        <v>3064.6000000000004</v>
      </c>
      <c r="O377" s="279">
        <f t="shared" ref="O377:O386" si="1071">+N377*$X$1</f>
        <v>3064.6000000000004</v>
      </c>
      <c r="P377" s="440">
        <f t="shared" ref="P377:P386" si="1072">F377+75</f>
        <v>3039.6000000000004</v>
      </c>
      <c r="Q377" s="279">
        <f t="shared" ref="Q377:Q386" si="1073">+P377*$X$1</f>
        <v>3039.6000000000004</v>
      </c>
      <c r="R377" s="440">
        <f t="shared" ref="R377:R386" si="1074">F377+65</f>
        <v>3029.6000000000004</v>
      </c>
      <c r="S377" s="279">
        <f t="shared" ref="S377:S386" si="1075">+R377*$X$1</f>
        <v>3029.6000000000004</v>
      </c>
      <c r="T377" s="99">
        <f t="shared" ref="T377:T386" si="1076">F377+50</f>
        <v>3014.6000000000004</v>
      </c>
      <c r="U377" s="294">
        <f t="shared" ref="U377:U386" si="1077">+T377*$X$1</f>
        <v>3014.6000000000004</v>
      </c>
      <c r="V377" s="99">
        <f t="shared" ref="V377:V386" si="1078">F377+38</f>
        <v>3002.6000000000004</v>
      </c>
      <c r="W377" s="294">
        <f t="shared" ref="W377:W386" si="1079">+V377*$X$1</f>
        <v>3002.6000000000004</v>
      </c>
      <c r="X377" s="135"/>
      <c r="Y377" s="131"/>
      <c r="Z377" s="131"/>
      <c r="AA377" s="134"/>
      <c r="AB377" s="385">
        <v>2247</v>
      </c>
    </row>
    <row r="378" spans="1:29" ht="12.6" customHeight="1" x14ac:dyDescent="0.2">
      <c r="A378" s="18"/>
      <c r="B378" s="733" t="s">
        <v>459</v>
      </c>
      <c r="C378" s="784"/>
      <c r="D378" s="784"/>
      <c r="E378" s="785"/>
      <c r="F378" s="369">
        <f>0.42*X2</f>
        <v>461.15999999999997</v>
      </c>
      <c r="G378" s="278">
        <f t="shared" ref="G378:G382" si="1080">+F378*$X$1</f>
        <v>461.15999999999997</v>
      </c>
      <c r="H378" s="272"/>
      <c r="I378" s="330"/>
      <c r="J378" s="607"/>
      <c r="K378" s="278"/>
      <c r="L378" s="607">
        <f t="shared" si="1068"/>
        <v>621.16</v>
      </c>
      <c r="M378" s="278">
        <f t="shared" si="1069"/>
        <v>621.16</v>
      </c>
      <c r="N378" s="607">
        <f t="shared" si="1070"/>
        <v>561.16</v>
      </c>
      <c r="O378" s="278">
        <f t="shared" si="1071"/>
        <v>561.16</v>
      </c>
      <c r="P378" s="607">
        <f t="shared" si="1072"/>
        <v>536.16</v>
      </c>
      <c r="Q378" s="278">
        <f t="shared" si="1073"/>
        <v>536.16</v>
      </c>
      <c r="R378" s="607">
        <f t="shared" si="1074"/>
        <v>526.16</v>
      </c>
      <c r="S378" s="278">
        <f t="shared" si="1075"/>
        <v>526.16</v>
      </c>
      <c r="T378" s="100">
        <f t="shared" si="1076"/>
        <v>511.15999999999997</v>
      </c>
      <c r="U378" s="251">
        <f t="shared" si="1077"/>
        <v>511.15999999999997</v>
      </c>
      <c r="V378" s="100">
        <f t="shared" si="1078"/>
        <v>499.15999999999997</v>
      </c>
      <c r="W378" s="251">
        <f t="shared" si="1079"/>
        <v>499.15999999999997</v>
      </c>
      <c r="X378" s="128"/>
      <c r="Y378" s="128"/>
      <c r="Z378" s="128"/>
      <c r="AA378" s="128"/>
      <c r="AB378" s="399">
        <v>2251</v>
      </c>
    </row>
    <row r="379" spans="1:29" ht="12.6" customHeight="1" x14ac:dyDescent="0.2">
      <c r="A379" s="18"/>
      <c r="B379" s="748" t="s">
        <v>666</v>
      </c>
      <c r="C379" s="950"/>
      <c r="D379" s="950"/>
      <c r="E379" s="951"/>
      <c r="F379" s="368">
        <f>0.42*X2</f>
        <v>461.15999999999997</v>
      </c>
      <c r="G379" s="279">
        <f t="shared" si="1080"/>
        <v>461.15999999999997</v>
      </c>
      <c r="H379" s="271"/>
      <c r="I379" s="331"/>
      <c r="J379" s="440"/>
      <c r="K379" s="279"/>
      <c r="L379" s="440">
        <f t="shared" si="1068"/>
        <v>621.16</v>
      </c>
      <c r="M379" s="279">
        <f t="shared" si="1069"/>
        <v>621.16</v>
      </c>
      <c r="N379" s="440">
        <f t="shared" si="1070"/>
        <v>561.16</v>
      </c>
      <c r="O379" s="279">
        <f t="shared" si="1071"/>
        <v>561.16</v>
      </c>
      <c r="P379" s="440">
        <f t="shared" si="1072"/>
        <v>536.16</v>
      </c>
      <c r="Q379" s="279">
        <f t="shared" si="1073"/>
        <v>536.16</v>
      </c>
      <c r="R379" s="440">
        <f t="shared" si="1074"/>
        <v>526.16</v>
      </c>
      <c r="S379" s="279">
        <f t="shared" si="1075"/>
        <v>526.16</v>
      </c>
      <c r="T379" s="99">
        <f t="shared" si="1076"/>
        <v>511.15999999999997</v>
      </c>
      <c r="U379" s="294">
        <f t="shared" si="1077"/>
        <v>511.15999999999997</v>
      </c>
      <c r="V379" s="99">
        <f t="shared" si="1078"/>
        <v>499.15999999999997</v>
      </c>
      <c r="W379" s="294">
        <f t="shared" si="1079"/>
        <v>499.15999999999997</v>
      </c>
      <c r="X379" s="128"/>
      <c r="Y379" s="128"/>
      <c r="Z379" s="128"/>
      <c r="AA379" s="128"/>
      <c r="AB379" s="385">
        <v>2252</v>
      </c>
    </row>
    <row r="380" spans="1:29" ht="12.6" customHeight="1" x14ac:dyDescent="0.2">
      <c r="A380" s="101"/>
      <c r="B380" s="733" t="s">
        <v>241</v>
      </c>
      <c r="C380" s="948"/>
      <c r="D380" s="948"/>
      <c r="E380" s="949"/>
      <c r="F380" s="364">
        <f>0.34*X2</f>
        <v>373.32000000000005</v>
      </c>
      <c r="G380" s="278">
        <f t="shared" si="1080"/>
        <v>373.32000000000005</v>
      </c>
      <c r="H380" s="272"/>
      <c r="I380" s="330"/>
      <c r="J380" s="607"/>
      <c r="K380" s="278"/>
      <c r="L380" s="607">
        <f t="shared" si="1068"/>
        <v>533.32000000000005</v>
      </c>
      <c r="M380" s="278">
        <f t="shared" si="1069"/>
        <v>533.32000000000005</v>
      </c>
      <c r="N380" s="607">
        <f t="shared" si="1070"/>
        <v>473.32000000000005</v>
      </c>
      <c r="O380" s="278">
        <f t="shared" si="1071"/>
        <v>473.32000000000005</v>
      </c>
      <c r="P380" s="607">
        <f t="shared" si="1072"/>
        <v>448.32000000000005</v>
      </c>
      <c r="Q380" s="278">
        <f t="shared" si="1073"/>
        <v>448.32000000000005</v>
      </c>
      <c r="R380" s="607">
        <f t="shared" si="1074"/>
        <v>438.32000000000005</v>
      </c>
      <c r="S380" s="278">
        <f t="shared" si="1075"/>
        <v>438.32000000000005</v>
      </c>
      <c r="T380" s="100">
        <f t="shared" si="1076"/>
        <v>423.32000000000005</v>
      </c>
      <c r="U380" s="251">
        <f t="shared" si="1077"/>
        <v>423.32000000000005</v>
      </c>
      <c r="V380" s="100">
        <f t="shared" si="1078"/>
        <v>411.32000000000005</v>
      </c>
      <c r="W380" s="251">
        <f t="shared" si="1079"/>
        <v>411.32000000000005</v>
      </c>
      <c r="X380" s="165"/>
      <c r="Y380" s="128"/>
      <c r="Z380" s="128"/>
      <c r="AA380" s="144"/>
      <c r="AB380" s="385">
        <v>2254</v>
      </c>
      <c r="AC380" s="64"/>
    </row>
    <row r="381" spans="1:29" ht="12.6" customHeight="1" x14ac:dyDescent="0.2">
      <c r="A381" s="101"/>
      <c r="B381" s="748" t="s">
        <v>471</v>
      </c>
      <c r="C381" s="983"/>
      <c r="D381" s="983"/>
      <c r="E381" s="984"/>
      <c r="F381" s="365">
        <f>0.34*X2</f>
        <v>373.32000000000005</v>
      </c>
      <c r="G381" s="279">
        <f t="shared" si="1080"/>
        <v>373.32000000000005</v>
      </c>
      <c r="H381" s="271"/>
      <c r="I381" s="331"/>
      <c r="J381" s="440"/>
      <c r="K381" s="279"/>
      <c r="L381" s="440">
        <f t="shared" si="1068"/>
        <v>533.32000000000005</v>
      </c>
      <c r="M381" s="279">
        <f t="shared" si="1069"/>
        <v>533.32000000000005</v>
      </c>
      <c r="N381" s="440">
        <f t="shared" si="1070"/>
        <v>473.32000000000005</v>
      </c>
      <c r="O381" s="279">
        <f t="shared" si="1071"/>
        <v>473.32000000000005</v>
      </c>
      <c r="P381" s="440">
        <f t="shared" si="1072"/>
        <v>448.32000000000005</v>
      </c>
      <c r="Q381" s="279">
        <f t="shared" si="1073"/>
        <v>448.32000000000005</v>
      </c>
      <c r="R381" s="440">
        <f t="shared" si="1074"/>
        <v>438.32000000000005</v>
      </c>
      <c r="S381" s="279">
        <f t="shared" si="1075"/>
        <v>438.32000000000005</v>
      </c>
      <c r="T381" s="99">
        <f t="shared" si="1076"/>
        <v>423.32000000000005</v>
      </c>
      <c r="U381" s="294">
        <f t="shared" si="1077"/>
        <v>423.32000000000005</v>
      </c>
      <c r="V381" s="99">
        <f t="shared" si="1078"/>
        <v>411.32000000000005</v>
      </c>
      <c r="W381" s="294">
        <f t="shared" si="1079"/>
        <v>411.32000000000005</v>
      </c>
      <c r="X381" s="165"/>
      <c r="Y381" s="128"/>
      <c r="Z381" s="128"/>
      <c r="AA381" s="144"/>
      <c r="AB381" s="385" t="s">
        <v>496</v>
      </c>
      <c r="AC381" s="64"/>
    </row>
    <row r="382" spans="1:29" ht="12.6" customHeight="1" x14ac:dyDescent="0.2">
      <c r="A382" s="101"/>
      <c r="B382" s="992" t="s">
        <v>242</v>
      </c>
      <c r="C382" s="993"/>
      <c r="D382" s="993"/>
      <c r="E382" s="994"/>
      <c r="F382" s="511">
        <v>430</v>
      </c>
      <c r="G382" s="511">
        <f t="shared" si="1080"/>
        <v>430</v>
      </c>
      <c r="H382" s="512"/>
      <c r="I382" s="514"/>
      <c r="J382" s="604"/>
      <c r="K382" s="511"/>
      <c r="L382" s="604">
        <f t="shared" si="1068"/>
        <v>590</v>
      </c>
      <c r="M382" s="511">
        <f t="shared" si="1069"/>
        <v>590</v>
      </c>
      <c r="N382" s="604">
        <f t="shared" si="1070"/>
        <v>530</v>
      </c>
      <c r="O382" s="511">
        <f t="shared" si="1071"/>
        <v>530</v>
      </c>
      <c r="P382" s="604">
        <f t="shared" si="1072"/>
        <v>505</v>
      </c>
      <c r="Q382" s="511">
        <f t="shared" si="1073"/>
        <v>505</v>
      </c>
      <c r="R382" s="604">
        <f t="shared" si="1074"/>
        <v>495</v>
      </c>
      <c r="S382" s="511">
        <f t="shared" si="1075"/>
        <v>495</v>
      </c>
      <c r="T382" s="628">
        <f t="shared" si="1076"/>
        <v>480</v>
      </c>
      <c r="U382" s="627">
        <f t="shared" si="1077"/>
        <v>480</v>
      </c>
      <c r="V382" s="628">
        <f t="shared" si="1078"/>
        <v>468</v>
      </c>
      <c r="W382" s="627">
        <f t="shared" si="1079"/>
        <v>468</v>
      </c>
      <c r="X382" s="165"/>
      <c r="Y382" s="128"/>
      <c r="Z382" s="128"/>
      <c r="AA382" s="128"/>
      <c r="AB382" s="385">
        <v>2255</v>
      </c>
      <c r="AC382" s="64"/>
    </row>
    <row r="383" spans="1:29" ht="12.6" customHeight="1" x14ac:dyDescent="0.2">
      <c r="A383" s="95"/>
      <c r="B383" s="655" t="s">
        <v>868</v>
      </c>
      <c r="C383" s="656"/>
      <c r="D383" s="656"/>
      <c r="E383" s="656"/>
      <c r="F383" s="365">
        <f>1.75*X2</f>
        <v>1921.5</v>
      </c>
      <c r="G383" s="279">
        <f t="shared" ref="G383" si="1081">+F383*$X$1</f>
        <v>1921.5</v>
      </c>
      <c r="H383" s="271"/>
      <c r="I383" s="331"/>
      <c r="J383" s="440"/>
      <c r="K383" s="279"/>
      <c r="L383" s="440">
        <f t="shared" si="1068"/>
        <v>2081.5</v>
      </c>
      <c r="M383" s="279">
        <f t="shared" si="1069"/>
        <v>2081.5</v>
      </c>
      <c r="N383" s="440">
        <f t="shared" si="1070"/>
        <v>2021.5</v>
      </c>
      <c r="O383" s="279">
        <f t="shared" si="1071"/>
        <v>2021.5</v>
      </c>
      <c r="P383" s="440">
        <f t="shared" si="1072"/>
        <v>1996.5</v>
      </c>
      <c r="Q383" s="279">
        <f t="shared" si="1073"/>
        <v>1996.5</v>
      </c>
      <c r="R383" s="440">
        <f t="shared" si="1074"/>
        <v>1986.5</v>
      </c>
      <c r="S383" s="279">
        <f t="shared" si="1075"/>
        <v>1986.5</v>
      </c>
      <c r="T383" s="99">
        <f t="shared" si="1076"/>
        <v>1971.5</v>
      </c>
      <c r="U383" s="294">
        <f t="shared" si="1077"/>
        <v>1971.5</v>
      </c>
      <c r="V383" s="99">
        <f t="shared" si="1078"/>
        <v>1959.5</v>
      </c>
      <c r="W383" s="294">
        <f t="shared" si="1079"/>
        <v>1959.5</v>
      </c>
      <c r="X383" s="135"/>
      <c r="Y383" s="131"/>
      <c r="Z383" s="131"/>
      <c r="AA383" s="134"/>
      <c r="AB383" s="385">
        <v>2258</v>
      </c>
    </row>
    <row r="384" spans="1:29" ht="12.6" customHeight="1" x14ac:dyDescent="0.2">
      <c r="A384" s="18"/>
      <c r="B384" s="728" t="s">
        <v>648</v>
      </c>
      <c r="C384" s="1021"/>
      <c r="D384" s="1021"/>
      <c r="E384" s="1021"/>
      <c r="F384" s="364">
        <f>0.52*X2</f>
        <v>570.96</v>
      </c>
      <c r="G384" s="278">
        <f t="shared" ref="G384" si="1082">+F384*$X$1</f>
        <v>570.96</v>
      </c>
      <c r="H384" s="607"/>
      <c r="I384" s="278"/>
      <c r="J384" s="607"/>
      <c r="K384" s="278"/>
      <c r="L384" s="607">
        <f t="shared" si="1068"/>
        <v>730.96</v>
      </c>
      <c r="M384" s="278">
        <f t="shared" si="1069"/>
        <v>730.96</v>
      </c>
      <c r="N384" s="607">
        <f t="shared" si="1070"/>
        <v>670.96</v>
      </c>
      <c r="O384" s="278">
        <f t="shared" si="1071"/>
        <v>670.96</v>
      </c>
      <c r="P384" s="607">
        <f t="shared" si="1072"/>
        <v>645.96</v>
      </c>
      <c r="Q384" s="278">
        <f t="shared" si="1073"/>
        <v>645.96</v>
      </c>
      <c r="R384" s="607">
        <f t="shared" si="1074"/>
        <v>635.96</v>
      </c>
      <c r="S384" s="278">
        <f t="shared" si="1075"/>
        <v>635.96</v>
      </c>
      <c r="T384" s="100">
        <f t="shared" si="1076"/>
        <v>620.96</v>
      </c>
      <c r="U384" s="251">
        <f t="shared" si="1077"/>
        <v>620.96</v>
      </c>
      <c r="V384" s="100">
        <f t="shared" si="1078"/>
        <v>608.96</v>
      </c>
      <c r="W384" s="251">
        <f t="shared" si="1079"/>
        <v>608.96</v>
      </c>
      <c r="X384" s="652"/>
      <c r="Y384" s="732"/>
      <c r="Z384" s="732"/>
      <c r="AA384" s="653"/>
      <c r="AB384" s="385">
        <v>2260</v>
      </c>
      <c r="AC384" s="64"/>
    </row>
    <row r="385" spans="1:34" ht="12.6" customHeight="1" x14ac:dyDescent="0.2">
      <c r="A385" s="18"/>
      <c r="B385" s="693" t="s">
        <v>629</v>
      </c>
      <c r="C385" s="985"/>
      <c r="D385" s="985"/>
      <c r="E385" s="985"/>
      <c r="F385" s="365">
        <f>0.6*X2</f>
        <v>658.8</v>
      </c>
      <c r="G385" s="279">
        <f t="shared" ref="G385:G386" si="1083">+F385*$X$1</f>
        <v>658.8</v>
      </c>
      <c r="H385" s="440"/>
      <c r="I385" s="279"/>
      <c r="J385" s="440"/>
      <c r="K385" s="279"/>
      <c r="L385" s="440">
        <f t="shared" si="1068"/>
        <v>818.8</v>
      </c>
      <c r="M385" s="279">
        <f t="shared" si="1069"/>
        <v>818.8</v>
      </c>
      <c r="N385" s="440">
        <f t="shared" si="1070"/>
        <v>758.8</v>
      </c>
      <c r="O385" s="279">
        <f t="shared" si="1071"/>
        <v>758.8</v>
      </c>
      <c r="P385" s="440">
        <f t="shared" si="1072"/>
        <v>733.8</v>
      </c>
      <c r="Q385" s="279">
        <f t="shared" si="1073"/>
        <v>733.8</v>
      </c>
      <c r="R385" s="440">
        <f t="shared" si="1074"/>
        <v>723.8</v>
      </c>
      <c r="S385" s="279">
        <f t="shared" si="1075"/>
        <v>723.8</v>
      </c>
      <c r="T385" s="99">
        <f t="shared" si="1076"/>
        <v>708.8</v>
      </c>
      <c r="U385" s="294">
        <f t="shared" si="1077"/>
        <v>708.8</v>
      </c>
      <c r="V385" s="99">
        <f t="shared" si="1078"/>
        <v>696.8</v>
      </c>
      <c r="W385" s="294">
        <f t="shared" si="1079"/>
        <v>696.8</v>
      </c>
      <c r="X385" s="652"/>
      <c r="Y385" s="732"/>
      <c r="Z385" s="732"/>
      <c r="AA385" s="653"/>
      <c r="AB385" s="385">
        <v>2261</v>
      </c>
      <c r="AC385" s="64"/>
    </row>
    <row r="386" spans="1:34" ht="12.6" customHeight="1" x14ac:dyDescent="0.2">
      <c r="A386" s="18"/>
      <c r="B386" s="728" t="s">
        <v>650</v>
      </c>
      <c r="C386" s="1021"/>
      <c r="D386" s="1021"/>
      <c r="E386" s="1021"/>
      <c r="F386" s="364">
        <f>0.58*X2</f>
        <v>636.83999999999992</v>
      </c>
      <c r="G386" s="278">
        <f t="shared" si="1083"/>
        <v>636.83999999999992</v>
      </c>
      <c r="H386" s="607"/>
      <c r="I386" s="278"/>
      <c r="J386" s="607"/>
      <c r="K386" s="278"/>
      <c r="L386" s="607">
        <f t="shared" si="1068"/>
        <v>796.83999999999992</v>
      </c>
      <c r="M386" s="278">
        <f t="shared" si="1069"/>
        <v>796.83999999999992</v>
      </c>
      <c r="N386" s="607">
        <f t="shared" si="1070"/>
        <v>736.83999999999992</v>
      </c>
      <c r="O386" s="278">
        <f t="shared" si="1071"/>
        <v>736.83999999999992</v>
      </c>
      <c r="P386" s="607">
        <f t="shared" si="1072"/>
        <v>711.83999999999992</v>
      </c>
      <c r="Q386" s="278">
        <f t="shared" si="1073"/>
        <v>711.83999999999992</v>
      </c>
      <c r="R386" s="607">
        <f t="shared" si="1074"/>
        <v>701.83999999999992</v>
      </c>
      <c r="S386" s="278">
        <f t="shared" si="1075"/>
        <v>701.83999999999992</v>
      </c>
      <c r="T386" s="100">
        <f t="shared" si="1076"/>
        <v>686.83999999999992</v>
      </c>
      <c r="U386" s="251">
        <f t="shared" si="1077"/>
        <v>686.83999999999992</v>
      </c>
      <c r="V386" s="100">
        <f t="shared" si="1078"/>
        <v>674.83999999999992</v>
      </c>
      <c r="W386" s="251">
        <f t="shared" si="1079"/>
        <v>674.83999999999992</v>
      </c>
      <c r="X386" s="652"/>
      <c r="Y386" s="732"/>
      <c r="Z386" s="732"/>
      <c r="AA386" s="653"/>
      <c r="AB386" s="385">
        <v>2262</v>
      </c>
      <c r="AC386" s="64"/>
    </row>
    <row r="387" spans="1:34" ht="12.6" customHeight="1" x14ac:dyDescent="0.2">
      <c r="A387" s="18"/>
      <c r="B387" s="693" t="s">
        <v>649</v>
      </c>
      <c r="C387" s="985"/>
      <c r="D387" s="985"/>
      <c r="E387" s="985"/>
      <c r="F387" s="365">
        <f>0.81*X2</f>
        <v>889.38000000000011</v>
      </c>
      <c r="G387" s="279">
        <f t="shared" ref="G387" si="1084">+F387*$X$1</f>
        <v>889.38000000000011</v>
      </c>
      <c r="H387" s="440"/>
      <c r="I387" s="279"/>
      <c r="J387" s="440"/>
      <c r="K387" s="279"/>
      <c r="L387" s="440">
        <f t="shared" ref="L387" si="1085">F387+160</f>
        <v>1049.3800000000001</v>
      </c>
      <c r="M387" s="279">
        <f t="shared" ref="M387:M389" si="1086">+L387*$X$1</f>
        <v>1049.3800000000001</v>
      </c>
      <c r="N387" s="440">
        <f t="shared" ref="N387" si="1087">F387+100</f>
        <v>989.38000000000011</v>
      </c>
      <c r="O387" s="279">
        <f t="shared" ref="O387" si="1088">+N387*$X$1</f>
        <v>989.38000000000011</v>
      </c>
      <c r="P387" s="440">
        <f t="shared" ref="P387" si="1089">F387+75</f>
        <v>964.38000000000011</v>
      </c>
      <c r="Q387" s="279">
        <f t="shared" ref="Q387" si="1090">+P387*$X$1</f>
        <v>964.38000000000011</v>
      </c>
      <c r="R387" s="440">
        <f t="shared" ref="R387" si="1091">F387+65</f>
        <v>954.38000000000011</v>
      </c>
      <c r="S387" s="279">
        <f t="shared" ref="S387" si="1092">+R387*$X$1</f>
        <v>954.38000000000011</v>
      </c>
      <c r="T387" s="99">
        <f t="shared" ref="T387" si="1093">F387+50</f>
        <v>939.38000000000011</v>
      </c>
      <c r="U387" s="294">
        <f t="shared" ref="U387" si="1094">+T387*$X$1</f>
        <v>939.38000000000011</v>
      </c>
      <c r="V387" s="99">
        <f t="shared" ref="V387" si="1095">F387+38</f>
        <v>927.38000000000011</v>
      </c>
      <c r="W387" s="294">
        <f t="shared" ref="W387" si="1096">+V387*$X$1</f>
        <v>927.38000000000011</v>
      </c>
      <c r="X387" s="652"/>
      <c r="Y387" s="732"/>
      <c r="Z387" s="732"/>
      <c r="AA387" s="653"/>
      <c r="AB387" s="385">
        <v>2266</v>
      </c>
      <c r="AC387" s="64"/>
    </row>
    <row r="388" spans="1:34" ht="12.6" customHeight="1" x14ac:dyDescent="0.2">
      <c r="A388" s="18"/>
      <c r="B388" s="1194" t="s">
        <v>243</v>
      </c>
      <c r="C388" s="1195"/>
      <c r="D388" s="1195"/>
      <c r="E388" s="1195"/>
      <c r="F388" s="505">
        <f>1.96*X2</f>
        <v>2152.08</v>
      </c>
      <c r="G388" s="278">
        <f t="shared" ref="G388:G390" si="1097">+F388*$X$1</f>
        <v>2152.08</v>
      </c>
      <c r="H388" s="607">
        <f>F388+650</f>
        <v>2802.08</v>
      </c>
      <c r="I388" s="278">
        <f t="shared" ref="I388" si="1098">+H388*$X$1</f>
        <v>2802.08</v>
      </c>
      <c r="J388" s="607">
        <f>F388+230</f>
        <v>2382.08</v>
      </c>
      <c r="K388" s="278">
        <f t="shared" ref="K388" si="1099">+J388*$X$1</f>
        <v>2382.08</v>
      </c>
      <c r="L388" s="607">
        <f>F388+190</f>
        <v>2342.08</v>
      </c>
      <c r="M388" s="278">
        <f t="shared" si="1086"/>
        <v>2342.08</v>
      </c>
      <c r="N388" s="607"/>
      <c r="O388" s="278"/>
      <c r="P388" s="607"/>
      <c r="Q388" s="278"/>
      <c r="R388" s="607"/>
      <c r="S388" s="278"/>
      <c r="T388" s="607"/>
      <c r="U388" s="278"/>
      <c r="V388" s="607"/>
      <c r="W388" s="278"/>
      <c r="X388" s="652"/>
      <c r="Y388" s="732"/>
      <c r="Z388" s="732"/>
      <c r="AA388" s="653"/>
      <c r="AB388" s="385">
        <v>2268</v>
      </c>
      <c r="AC388" s="64"/>
    </row>
    <row r="389" spans="1:34" ht="12.6" customHeight="1" x14ac:dyDescent="0.2">
      <c r="A389" s="95"/>
      <c r="B389" s="655" t="s">
        <v>984</v>
      </c>
      <c r="C389" s="656"/>
      <c r="D389" s="656"/>
      <c r="E389" s="656"/>
      <c r="F389" s="365">
        <f>0.47*X2</f>
        <v>516.05999999999995</v>
      </c>
      <c r="G389" s="279">
        <f t="shared" si="1097"/>
        <v>516.05999999999995</v>
      </c>
      <c r="H389" s="271"/>
      <c r="I389" s="331"/>
      <c r="J389" s="440"/>
      <c r="K389" s="279"/>
      <c r="L389" s="440">
        <f t="shared" ref="L389" si="1100">F389+160</f>
        <v>676.06</v>
      </c>
      <c r="M389" s="279">
        <f t="shared" si="1086"/>
        <v>676.06</v>
      </c>
      <c r="N389" s="440">
        <f t="shared" ref="N389" si="1101">F389+100</f>
        <v>616.05999999999995</v>
      </c>
      <c r="O389" s="279">
        <f t="shared" ref="O389" si="1102">+N389*$X$1</f>
        <v>616.05999999999995</v>
      </c>
      <c r="P389" s="440">
        <f t="shared" ref="P389" si="1103">F389+75</f>
        <v>591.05999999999995</v>
      </c>
      <c r="Q389" s="279">
        <f t="shared" ref="Q389" si="1104">+P389*$X$1</f>
        <v>591.05999999999995</v>
      </c>
      <c r="R389" s="440">
        <f t="shared" ref="R389" si="1105">F389+65</f>
        <v>581.05999999999995</v>
      </c>
      <c r="S389" s="279">
        <f t="shared" ref="S389" si="1106">+R389*$X$1</f>
        <v>581.05999999999995</v>
      </c>
      <c r="T389" s="99">
        <f t="shared" ref="T389" si="1107">F389+50</f>
        <v>566.05999999999995</v>
      </c>
      <c r="U389" s="294">
        <f t="shared" ref="U389" si="1108">+T389*$X$1</f>
        <v>566.05999999999995</v>
      </c>
      <c r="V389" s="99">
        <f t="shared" ref="V389" si="1109">F389+38</f>
        <v>554.05999999999995</v>
      </c>
      <c r="W389" s="294">
        <f t="shared" ref="W389" si="1110">+V389*$X$1</f>
        <v>554.05999999999995</v>
      </c>
      <c r="X389" s="135"/>
      <c r="Y389" s="131"/>
      <c r="Z389" s="131"/>
      <c r="AA389" s="134"/>
      <c r="AB389" s="385">
        <v>2269</v>
      </c>
    </row>
    <row r="390" spans="1:34" ht="12.6" customHeight="1" x14ac:dyDescent="0.2">
      <c r="A390" s="18"/>
      <c r="B390" s="811" t="s">
        <v>244</v>
      </c>
      <c r="C390" s="1187"/>
      <c r="D390" s="1187"/>
      <c r="E390" s="1187"/>
      <c r="F390" s="515">
        <f>0.29*X2</f>
        <v>318.41999999999996</v>
      </c>
      <c r="G390" s="511">
        <f t="shared" si="1097"/>
        <v>318.41999999999996</v>
      </c>
      <c r="H390" s="512"/>
      <c r="I390" s="512"/>
      <c r="J390" s="642"/>
      <c r="K390" s="642"/>
      <c r="L390" s="642">
        <f t="shared" ref="L390:L394" si="1111">F390+160</f>
        <v>478.41999999999996</v>
      </c>
      <c r="M390" s="511">
        <f t="shared" ref="M390:M394" si="1112">+L390*$X$1</f>
        <v>478.41999999999996</v>
      </c>
      <c r="N390" s="642">
        <f t="shared" ref="N390:N394" si="1113">F390+100</f>
        <v>418.41999999999996</v>
      </c>
      <c r="O390" s="511">
        <f t="shared" ref="O390:O394" si="1114">+N390*$X$1</f>
        <v>418.41999999999996</v>
      </c>
      <c r="P390" s="642">
        <f t="shared" ref="P390:P394" si="1115">F390+75</f>
        <v>393.41999999999996</v>
      </c>
      <c r="Q390" s="511">
        <f t="shared" ref="Q390:Q394" si="1116">+P390*$X$1</f>
        <v>393.41999999999996</v>
      </c>
      <c r="R390" s="642">
        <f t="shared" ref="R390:R394" si="1117">F390+65</f>
        <v>383.41999999999996</v>
      </c>
      <c r="S390" s="511">
        <f t="shared" ref="S390:S394" si="1118">+R390*$X$1</f>
        <v>383.41999999999996</v>
      </c>
      <c r="T390" s="628">
        <f t="shared" ref="T390:T394" si="1119">F390+50</f>
        <v>368.41999999999996</v>
      </c>
      <c r="U390" s="627">
        <f t="shared" ref="U390:U394" si="1120">+T390*$X$1</f>
        <v>368.41999999999996</v>
      </c>
      <c r="V390" s="628">
        <f t="shared" ref="V390:V394" si="1121">F390+38</f>
        <v>356.41999999999996</v>
      </c>
      <c r="W390" s="627">
        <f t="shared" ref="W390:W394" si="1122">+V390*$X$1</f>
        <v>356.41999999999996</v>
      </c>
      <c r="X390" s="171"/>
      <c r="Y390" s="173"/>
      <c r="Z390" s="173"/>
      <c r="AA390" s="171"/>
      <c r="AB390" s="385">
        <v>2270</v>
      </c>
      <c r="AC390" s="64"/>
    </row>
    <row r="391" spans="1:34" ht="12.6" customHeight="1" x14ac:dyDescent="0.2">
      <c r="A391" s="18"/>
      <c r="B391" s="693" t="s">
        <v>913</v>
      </c>
      <c r="C391" s="1022"/>
      <c r="D391" s="1022"/>
      <c r="E391" s="1022"/>
      <c r="F391" s="365">
        <f>0.44*X2</f>
        <v>483.12</v>
      </c>
      <c r="G391" s="279">
        <f t="shared" ref="G391" si="1123">+F391*$X$1</f>
        <v>483.12</v>
      </c>
      <c r="H391" s="271"/>
      <c r="I391" s="271"/>
      <c r="J391" s="440"/>
      <c r="K391" s="440"/>
      <c r="L391" s="440">
        <f t="shared" si="1111"/>
        <v>643.12</v>
      </c>
      <c r="M391" s="279">
        <f t="shared" si="1112"/>
        <v>643.12</v>
      </c>
      <c r="N391" s="440">
        <f t="shared" si="1113"/>
        <v>583.12</v>
      </c>
      <c r="O391" s="279">
        <f t="shared" si="1114"/>
        <v>583.12</v>
      </c>
      <c r="P391" s="440">
        <f t="shared" si="1115"/>
        <v>558.12</v>
      </c>
      <c r="Q391" s="279">
        <f t="shared" si="1116"/>
        <v>558.12</v>
      </c>
      <c r="R391" s="440">
        <f t="shared" si="1117"/>
        <v>548.12</v>
      </c>
      <c r="S391" s="279">
        <f t="shared" si="1118"/>
        <v>548.12</v>
      </c>
      <c r="T391" s="99">
        <f t="shared" si="1119"/>
        <v>533.12</v>
      </c>
      <c r="U391" s="294">
        <f t="shared" si="1120"/>
        <v>533.12</v>
      </c>
      <c r="V391" s="99">
        <f t="shared" si="1121"/>
        <v>521.12</v>
      </c>
      <c r="W391" s="294">
        <f t="shared" si="1122"/>
        <v>521.12</v>
      </c>
      <c r="X391" s="540"/>
      <c r="Y391" s="538"/>
      <c r="Z391" s="538"/>
      <c r="AA391" s="540"/>
      <c r="AB391" s="385">
        <v>2271</v>
      </c>
      <c r="AC391" s="64"/>
    </row>
    <row r="392" spans="1:34" ht="12.6" customHeight="1" x14ac:dyDescent="0.2">
      <c r="A392" s="18"/>
      <c r="B392" s="728" t="s">
        <v>914</v>
      </c>
      <c r="C392" s="1199"/>
      <c r="D392" s="1199"/>
      <c r="E392" s="1199"/>
      <c r="F392" s="364">
        <f>0.65*X2</f>
        <v>713.7</v>
      </c>
      <c r="G392" s="278">
        <f t="shared" ref="G392" si="1124">+F392*$X$1</f>
        <v>713.7</v>
      </c>
      <c r="H392" s="272"/>
      <c r="I392" s="272"/>
      <c r="J392" s="641"/>
      <c r="K392" s="641"/>
      <c r="L392" s="641">
        <f t="shared" si="1111"/>
        <v>873.7</v>
      </c>
      <c r="M392" s="278">
        <f t="shared" si="1112"/>
        <v>873.7</v>
      </c>
      <c r="N392" s="641">
        <f t="shared" si="1113"/>
        <v>813.7</v>
      </c>
      <c r="O392" s="278">
        <f t="shared" si="1114"/>
        <v>813.7</v>
      </c>
      <c r="P392" s="641">
        <f t="shared" si="1115"/>
        <v>788.7</v>
      </c>
      <c r="Q392" s="278">
        <f t="shared" si="1116"/>
        <v>788.7</v>
      </c>
      <c r="R392" s="641">
        <f t="shared" si="1117"/>
        <v>778.7</v>
      </c>
      <c r="S392" s="278">
        <f t="shared" si="1118"/>
        <v>778.7</v>
      </c>
      <c r="T392" s="100">
        <f t="shared" si="1119"/>
        <v>763.7</v>
      </c>
      <c r="U392" s="251">
        <f t="shared" si="1120"/>
        <v>763.7</v>
      </c>
      <c r="V392" s="100">
        <f t="shared" si="1121"/>
        <v>751.7</v>
      </c>
      <c r="W392" s="251">
        <f t="shared" si="1122"/>
        <v>751.7</v>
      </c>
      <c r="X392" s="540"/>
      <c r="Y392" s="538"/>
      <c r="Z392" s="538"/>
      <c r="AA392" s="540"/>
      <c r="AB392" s="385">
        <v>2272</v>
      </c>
      <c r="AC392" s="64"/>
    </row>
    <row r="393" spans="1:34" ht="12.6" customHeight="1" x14ac:dyDescent="0.2">
      <c r="A393" s="18"/>
      <c r="B393" s="693" t="s">
        <v>245</v>
      </c>
      <c r="C393" s="694"/>
      <c r="D393" s="694"/>
      <c r="E393" s="694"/>
      <c r="F393" s="365">
        <f>0.59*X2</f>
        <v>647.81999999999994</v>
      </c>
      <c r="G393" s="279">
        <f>+F393*$X$1</f>
        <v>647.81999999999994</v>
      </c>
      <c r="H393" s="271"/>
      <c r="I393" s="271"/>
      <c r="J393" s="440"/>
      <c r="K393" s="440"/>
      <c r="L393" s="440">
        <f t="shared" si="1111"/>
        <v>807.81999999999994</v>
      </c>
      <c r="M393" s="279">
        <f t="shared" si="1112"/>
        <v>807.81999999999994</v>
      </c>
      <c r="N393" s="440">
        <f t="shared" si="1113"/>
        <v>747.81999999999994</v>
      </c>
      <c r="O393" s="279">
        <f t="shared" si="1114"/>
        <v>747.81999999999994</v>
      </c>
      <c r="P393" s="440">
        <f t="shared" si="1115"/>
        <v>722.81999999999994</v>
      </c>
      <c r="Q393" s="279">
        <f t="shared" si="1116"/>
        <v>722.81999999999994</v>
      </c>
      <c r="R393" s="440">
        <f t="shared" si="1117"/>
        <v>712.81999999999994</v>
      </c>
      <c r="S393" s="279">
        <f t="shared" si="1118"/>
        <v>712.81999999999994</v>
      </c>
      <c r="T393" s="99">
        <f t="shared" si="1119"/>
        <v>697.81999999999994</v>
      </c>
      <c r="U393" s="294">
        <f t="shared" si="1120"/>
        <v>697.81999999999994</v>
      </c>
      <c r="V393" s="99">
        <f t="shared" si="1121"/>
        <v>685.81999999999994</v>
      </c>
      <c r="W393" s="294">
        <f t="shared" si="1122"/>
        <v>685.81999999999994</v>
      </c>
      <c r="X393" s="171"/>
      <c r="Y393" s="173"/>
      <c r="Z393" s="173"/>
      <c r="AA393" s="171"/>
      <c r="AB393" s="385">
        <v>2275</v>
      </c>
      <c r="AC393" s="64"/>
    </row>
    <row r="394" spans="1:34" ht="12.6" customHeight="1" x14ac:dyDescent="0.2">
      <c r="A394" s="18"/>
      <c r="B394" s="728" t="s">
        <v>595</v>
      </c>
      <c r="C394" s="729"/>
      <c r="D394" s="729"/>
      <c r="E394" s="729"/>
      <c r="F394" s="364">
        <f>0.57*X2</f>
        <v>625.8599999999999</v>
      </c>
      <c r="G394" s="278">
        <f t="shared" ref="G394" si="1125">+F394*$X$1</f>
        <v>625.8599999999999</v>
      </c>
      <c r="H394" s="272"/>
      <c r="I394" s="272"/>
      <c r="J394" s="641"/>
      <c r="K394" s="641"/>
      <c r="L394" s="641">
        <f t="shared" si="1111"/>
        <v>785.8599999999999</v>
      </c>
      <c r="M394" s="278">
        <f t="shared" si="1112"/>
        <v>785.8599999999999</v>
      </c>
      <c r="N394" s="641">
        <f t="shared" si="1113"/>
        <v>725.8599999999999</v>
      </c>
      <c r="O394" s="278">
        <f t="shared" si="1114"/>
        <v>725.8599999999999</v>
      </c>
      <c r="P394" s="641">
        <f t="shared" si="1115"/>
        <v>700.8599999999999</v>
      </c>
      <c r="Q394" s="278">
        <f t="shared" si="1116"/>
        <v>700.8599999999999</v>
      </c>
      <c r="R394" s="641">
        <f t="shared" si="1117"/>
        <v>690.8599999999999</v>
      </c>
      <c r="S394" s="278">
        <f t="shared" si="1118"/>
        <v>690.8599999999999</v>
      </c>
      <c r="T394" s="100">
        <f t="shared" si="1119"/>
        <v>675.8599999999999</v>
      </c>
      <c r="U394" s="251">
        <f t="shared" si="1120"/>
        <v>675.8599999999999</v>
      </c>
      <c r="V394" s="100">
        <f t="shared" si="1121"/>
        <v>663.8599999999999</v>
      </c>
      <c r="W394" s="251">
        <f t="shared" si="1122"/>
        <v>663.8599999999999</v>
      </c>
      <c r="X394" s="221"/>
      <c r="Y394" s="222"/>
      <c r="Z394" s="222"/>
      <c r="AA394" s="221"/>
      <c r="AB394" s="385">
        <v>2279</v>
      </c>
      <c r="AC394" s="64"/>
    </row>
    <row r="395" spans="1:34" ht="12.6" customHeight="1" x14ac:dyDescent="0.2">
      <c r="A395" s="18"/>
      <c r="B395" s="693" t="s">
        <v>246</v>
      </c>
      <c r="C395" s="694"/>
      <c r="D395" s="694"/>
      <c r="E395" s="694"/>
      <c r="F395" s="365">
        <f>0.484*X2</f>
        <v>531.43200000000002</v>
      </c>
      <c r="G395" s="279">
        <f>+F395*$X$1</f>
        <v>531.43200000000002</v>
      </c>
      <c r="H395" s="271"/>
      <c r="I395" s="271"/>
      <c r="J395" s="440"/>
      <c r="K395" s="440"/>
      <c r="L395" s="440">
        <f>F395+160</f>
        <v>691.43200000000002</v>
      </c>
      <c r="M395" s="279">
        <f>+L395*$X$1</f>
        <v>691.43200000000002</v>
      </c>
      <c r="N395" s="440">
        <f>F395+100</f>
        <v>631.43200000000002</v>
      </c>
      <c r="O395" s="279">
        <f>+N395*$X$1</f>
        <v>631.43200000000002</v>
      </c>
      <c r="P395" s="440">
        <f>F395+75</f>
        <v>606.43200000000002</v>
      </c>
      <c r="Q395" s="279">
        <f>+P395*$X$1</f>
        <v>606.43200000000002</v>
      </c>
      <c r="R395" s="440">
        <f>F395+65</f>
        <v>596.43200000000002</v>
      </c>
      <c r="S395" s="279">
        <f>+R395*$X$1</f>
        <v>596.43200000000002</v>
      </c>
      <c r="T395" s="99">
        <f>F395+50</f>
        <v>581.43200000000002</v>
      </c>
      <c r="U395" s="294">
        <f>+T395*$X$1</f>
        <v>581.43200000000002</v>
      </c>
      <c r="V395" s="99">
        <f>F395+38</f>
        <v>569.43200000000002</v>
      </c>
      <c r="W395" s="294">
        <f>+V395*$X$1</f>
        <v>569.43200000000002</v>
      </c>
      <c r="X395" s="171"/>
      <c r="Y395" s="173"/>
      <c r="Z395" s="173"/>
      <c r="AA395" s="171"/>
      <c r="AB395" s="385">
        <v>2280</v>
      </c>
      <c r="AC395" s="64"/>
    </row>
    <row r="396" spans="1:34" s="4" customFormat="1" ht="12.6" customHeight="1" x14ac:dyDescent="0.2">
      <c r="A396" s="19"/>
      <c r="B396" s="16"/>
      <c r="C396" s="12"/>
      <c r="D396" s="12"/>
      <c r="E396" s="12"/>
      <c r="F396" s="57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9"/>
      <c r="B397" s="16"/>
      <c r="C397" s="12"/>
      <c r="D397" s="12"/>
      <c r="E397" s="12"/>
      <c r="F397" s="57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s="4" customFormat="1" ht="12.6" customHeight="1" x14ac:dyDescent="0.2">
      <c r="A398" s="19"/>
      <c r="B398" s="16"/>
      <c r="C398" s="12"/>
      <c r="D398" s="12"/>
      <c r="E398" s="12"/>
      <c r="F398" s="57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34" ht="15.75" customHeight="1" x14ac:dyDescent="0.2">
      <c r="A399" s="18"/>
      <c r="B399" s="654" t="s">
        <v>11</v>
      </c>
      <c r="C399" s="925" t="s">
        <v>12</v>
      </c>
      <c r="D399" s="926"/>
      <c r="E399" s="926"/>
      <c r="F399" s="764" t="s">
        <v>13</v>
      </c>
      <c r="G399" s="764" t="s">
        <v>13</v>
      </c>
      <c r="H399" s="657" t="s">
        <v>790</v>
      </c>
      <c r="I399" s="657"/>
      <c r="J399" s="658"/>
      <c r="K399" s="658"/>
      <c r="L399" s="658"/>
      <c r="M399" s="658"/>
      <c r="N399" s="658"/>
      <c r="O399" s="658"/>
      <c r="P399" s="658"/>
      <c r="Q399" s="658"/>
      <c r="R399" s="658"/>
      <c r="S399" s="658"/>
      <c r="T399" s="658"/>
      <c r="U399" s="658"/>
      <c r="V399" s="658"/>
      <c r="W399" s="658"/>
      <c r="X399" s="707" t="s">
        <v>14</v>
      </c>
      <c r="Y399" s="707"/>
      <c r="Z399" s="707"/>
      <c r="AA399" s="707"/>
      <c r="AB399" s="676" t="s">
        <v>15</v>
      </c>
      <c r="AE399" s="63"/>
      <c r="AF399" s="674" t="s">
        <v>3</v>
      </c>
      <c r="AG399" s="675"/>
      <c r="AH399" s="675"/>
    </row>
    <row r="400" spans="1:34" ht="12" customHeight="1" x14ac:dyDescent="0.2">
      <c r="A400" s="18"/>
      <c r="B400" s="654"/>
      <c r="C400" s="926"/>
      <c r="D400" s="926"/>
      <c r="E400" s="926"/>
      <c r="F400" s="765"/>
      <c r="G400" s="765"/>
      <c r="H400" s="459"/>
      <c r="I400" s="451" t="s">
        <v>285</v>
      </c>
      <c r="J400" s="453"/>
      <c r="K400" s="451" t="s">
        <v>17</v>
      </c>
      <c r="L400" s="454"/>
      <c r="M400" s="454" t="s">
        <v>18</v>
      </c>
      <c r="N400" s="454"/>
      <c r="O400" s="451" t="s">
        <v>19</v>
      </c>
      <c r="P400" s="454"/>
      <c r="Q400" s="454" t="s">
        <v>286</v>
      </c>
      <c r="R400" s="454"/>
      <c r="S400" s="454" t="s">
        <v>20</v>
      </c>
      <c r="T400" s="454"/>
      <c r="U400" s="454" t="s">
        <v>21</v>
      </c>
      <c r="V400" s="454"/>
      <c r="W400" s="454" t="s">
        <v>22</v>
      </c>
      <c r="X400" s="707"/>
      <c r="Y400" s="707"/>
      <c r="Z400" s="707"/>
      <c r="AA400" s="707"/>
      <c r="AB400" s="677"/>
    </row>
    <row r="401" spans="1:29" ht="12.6" customHeight="1" x14ac:dyDescent="0.2">
      <c r="A401" s="18"/>
      <c r="B401" s="693" t="s">
        <v>465</v>
      </c>
      <c r="C401" s="694"/>
      <c r="D401" s="694"/>
      <c r="E401" s="694"/>
      <c r="F401" s="365">
        <f>0.41*X2</f>
        <v>450.17999999999995</v>
      </c>
      <c r="G401" s="279">
        <f t="shared" ref="G401" si="1126">+F401*$X$1</f>
        <v>450.17999999999995</v>
      </c>
      <c r="H401" s="271"/>
      <c r="I401" s="271"/>
      <c r="J401" s="440"/>
      <c r="K401" s="440"/>
      <c r="L401" s="440">
        <f>F401+160</f>
        <v>610.17999999999995</v>
      </c>
      <c r="M401" s="279">
        <f>+L401*$X$1</f>
        <v>610.17999999999995</v>
      </c>
      <c r="N401" s="440">
        <f>F401+100</f>
        <v>550.17999999999995</v>
      </c>
      <c r="O401" s="279">
        <f>+N401*$X$1</f>
        <v>550.17999999999995</v>
      </c>
      <c r="P401" s="440">
        <f>F401+75</f>
        <v>525.17999999999995</v>
      </c>
      <c r="Q401" s="279">
        <f>+P401*$X$1</f>
        <v>525.17999999999995</v>
      </c>
      <c r="R401" s="440">
        <f>F401+65</f>
        <v>515.17999999999995</v>
      </c>
      <c r="S401" s="279">
        <f>+R401*$X$1</f>
        <v>515.17999999999995</v>
      </c>
      <c r="T401" s="99">
        <f>F401+50</f>
        <v>500.17999999999995</v>
      </c>
      <c r="U401" s="294">
        <f>+T401*$X$1</f>
        <v>500.17999999999995</v>
      </c>
      <c r="V401" s="99">
        <f>F401+38</f>
        <v>488.17999999999995</v>
      </c>
      <c r="W401" s="294">
        <f>+V401*$X$1</f>
        <v>488.17999999999995</v>
      </c>
      <c r="X401" s="171"/>
      <c r="Y401" s="173"/>
      <c r="Z401" s="173"/>
      <c r="AA401" s="171"/>
      <c r="AB401" s="385">
        <v>2281</v>
      </c>
      <c r="AC401" s="64"/>
    </row>
    <row r="402" spans="1:29" ht="12.6" customHeight="1" x14ac:dyDescent="0.2">
      <c r="A402" s="18"/>
      <c r="B402" s="733" t="s">
        <v>857</v>
      </c>
      <c r="C402" s="784"/>
      <c r="D402" s="784"/>
      <c r="E402" s="785"/>
      <c r="F402" s="369">
        <f>0.61*X2</f>
        <v>669.78</v>
      </c>
      <c r="G402" s="278">
        <f t="shared" ref="G402" si="1127">+F402*$X$1</f>
        <v>669.78</v>
      </c>
      <c r="H402" s="272"/>
      <c r="I402" s="330"/>
      <c r="J402" s="607"/>
      <c r="K402" s="278"/>
      <c r="L402" s="607">
        <f>F402+160</f>
        <v>829.78</v>
      </c>
      <c r="M402" s="278">
        <f>+L402*$X$1</f>
        <v>829.78</v>
      </c>
      <c r="N402" s="607">
        <f>F402+100</f>
        <v>769.78</v>
      </c>
      <c r="O402" s="278">
        <f>+N402*$X$1</f>
        <v>769.78</v>
      </c>
      <c r="P402" s="607">
        <f>F402+75</f>
        <v>744.78</v>
      </c>
      <c r="Q402" s="278">
        <f>+P402*$X$1</f>
        <v>744.78</v>
      </c>
      <c r="R402" s="607">
        <f>F402+65</f>
        <v>734.78</v>
      </c>
      <c r="S402" s="278">
        <f>+R402*$X$1</f>
        <v>734.78</v>
      </c>
      <c r="T402" s="100">
        <f>F402+50</f>
        <v>719.78</v>
      </c>
      <c r="U402" s="251">
        <f>+T402*$X$1</f>
        <v>719.78</v>
      </c>
      <c r="V402" s="100">
        <f>F402+38</f>
        <v>707.78</v>
      </c>
      <c r="W402" s="251">
        <f>+V402*$X$1</f>
        <v>707.78</v>
      </c>
      <c r="X402" s="128"/>
      <c r="Y402" s="128"/>
      <c r="Z402" s="128"/>
      <c r="AA402" s="128"/>
      <c r="AB402" s="385">
        <v>2282</v>
      </c>
    </row>
    <row r="403" spans="1:29" ht="12.6" customHeight="1" x14ac:dyDescent="0.2">
      <c r="A403" s="18"/>
      <c r="B403" s="748" t="s">
        <v>856</v>
      </c>
      <c r="C403" s="950"/>
      <c r="D403" s="950"/>
      <c r="E403" s="951"/>
      <c r="F403" s="368">
        <f>0.57*X2</f>
        <v>625.8599999999999</v>
      </c>
      <c r="G403" s="279">
        <f>+F403*$X$1</f>
        <v>625.8599999999999</v>
      </c>
      <c r="H403" s="271"/>
      <c r="I403" s="331"/>
      <c r="J403" s="440"/>
      <c r="K403" s="279"/>
      <c r="L403" s="440">
        <f t="shared" ref="L403" si="1128">F403+160</f>
        <v>785.8599999999999</v>
      </c>
      <c r="M403" s="279">
        <f t="shared" ref="M403" si="1129">+L403*$X$1</f>
        <v>785.8599999999999</v>
      </c>
      <c r="N403" s="440">
        <f t="shared" ref="N403" si="1130">F403+100</f>
        <v>725.8599999999999</v>
      </c>
      <c r="O403" s="279">
        <f t="shared" ref="O403" si="1131">+N403*$X$1</f>
        <v>725.8599999999999</v>
      </c>
      <c r="P403" s="440">
        <f t="shared" ref="P403" si="1132">F403+75</f>
        <v>700.8599999999999</v>
      </c>
      <c r="Q403" s="279">
        <f t="shared" ref="Q403" si="1133">+P403*$X$1</f>
        <v>700.8599999999999</v>
      </c>
      <c r="R403" s="440">
        <f t="shared" ref="R403" si="1134">F403+65</f>
        <v>690.8599999999999</v>
      </c>
      <c r="S403" s="279">
        <f t="shared" ref="S403" si="1135">+R403*$X$1</f>
        <v>690.8599999999999</v>
      </c>
      <c r="T403" s="99">
        <f t="shared" ref="T403" si="1136">F403+50</f>
        <v>675.8599999999999</v>
      </c>
      <c r="U403" s="294">
        <f t="shared" ref="U403" si="1137">+T403*$X$1</f>
        <v>675.8599999999999</v>
      </c>
      <c r="V403" s="99">
        <f t="shared" ref="V403" si="1138">F403+38</f>
        <v>663.8599999999999</v>
      </c>
      <c r="W403" s="294">
        <f t="shared" ref="W403" si="1139">+V403*$X$1</f>
        <v>663.8599999999999</v>
      </c>
      <c r="X403" s="128"/>
      <c r="Y403" s="128"/>
      <c r="Z403" s="128"/>
      <c r="AA403" s="128"/>
      <c r="AB403" s="385">
        <v>2283</v>
      </c>
    </row>
    <row r="404" spans="1:29" ht="12.6" customHeight="1" x14ac:dyDescent="0.2">
      <c r="A404" s="18"/>
      <c r="B404" s="728" t="s">
        <v>327</v>
      </c>
      <c r="C404" s="729"/>
      <c r="D404" s="729"/>
      <c r="E404" s="729"/>
      <c r="F404" s="364">
        <f>0.64*X2</f>
        <v>702.72</v>
      </c>
      <c r="G404" s="278">
        <f>+F404*$X$1</f>
        <v>702.72</v>
      </c>
      <c r="H404" s="272"/>
      <c r="I404" s="272"/>
      <c r="J404" s="607"/>
      <c r="K404" s="607"/>
      <c r="L404" s="607">
        <f t="shared" ref="L404:L415" si="1140">F404+160</f>
        <v>862.72</v>
      </c>
      <c r="M404" s="278">
        <f t="shared" ref="M404:M420" si="1141">+L404*$X$1</f>
        <v>862.72</v>
      </c>
      <c r="N404" s="607">
        <f t="shared" ref="N404:N415" si="1142">F404+100</f>
        <v>802.72</v>
      </c>
      <c r="O404" s="278">
        <f t="shared" ref="O404:O415" si="1143">+N404*$X$1</f>
        <v>802.72</v>
      </c>
      <c r="P404" s="607">
        <f t="shared" ref="P404:P415" si="1144">F404+75</f>
        <v>777.72</v>
      </c>
      <c r="Q404" s="278">
        <f t="shared" ref="Q404:Q420" si="1145">+P404*$X$1</f>
        <v>777.72</v>
      </c>
      <c r="R404" s="607">
        <f t="shared" ref="R404:R415" si="1146">F404+65</f>
        <v>767.72</v>
      </c>
      <c r="S404" s="278">
        <f t="shared" ref="S404:S415" si="1147">+R404*$X$1</f>
        <v>767.72</v>
      </c>
      <c r="T404" s="100">
        <f t="shared" ref="T404:T415" si="1148">F404+50</f>
        <v>752.72</v>
      </c>
      <c r="U404" s="251">
        <f t="shared" ref="U404:U420" si="1149">+T404*$X$1</f>
        <v>752.72</v>
      </c>
      <c r="V404" s="100">
        <f t="shared" ref="V404:V415" si="1150">F404+38</f>
        <v>740.72</v>
      </c>
      <c r="W404" s="251">
        <f t="shared" ref="W404:W420" si="1151">+V404*$X$1</f>
        <v>740.72</v>
      </c>
      <c r="X404" s="184"/>
      <c r="Y404" s="183"/>
      <c r="Z404" s="183"/>
      <c r="AA404" s="184"/>
      <c r="AB404" s="385">
        <v>2285</v>
      </c>
      <c r="AC404" s="64"/>
    </row>
    <row r="405" spans="1:29" ht="12.6" customHeight="1" x14ac:dyDescent="0.2">
      <c r="A405" s="18"/>
      <c r="B405" s="693" t="s">
        <v>328</v>
      </c>
      <c r="C405" s="694"/>
      <c r="D405" s="694"/>
      <c r="E405" s="694"/>
      <c r="F405" s="365">
        <f>0.356*X2</f>
        <v>390.88799999999998</v>
      </c>
      <c r="G405" s="279">
        <f>+F405*$X$1</f>
        <v>390.88799999999998</v>
      </c>
      <c r="H405" s="271"/>
      <c r="I405" s="271"/>
      <c r="J405" s="440"/>
      <c r="K405" s="440"/>
      <c r="L405" s="440">
        <f t="shared" si="1140"/>
        <v>550.88799999999992</v>
      </c>
      <c r="M405" s="279">
        <f t="shared" si="1141"/>
        <v>550.88799999999992</v>
      </c>
      <c r="N405" s="440">
        <f t="shared" si="1142"/>
        <v>490.88799999999998</v>
      </c>
      <c r="O405" s="279">
        <f t="shared" si="1143"/>
        <v>490.88799999999998</v>
      </c>
      <c r="P405" s="440">
        <f t="shared" si="1144"/>
        <v>465.88799999999998</v>
      </c>
      <c r="Q405" s="279">
        <f t="shared" si="1145"/>
        <v>465.88799999999998</v>
      </c>
      <c r="R405" s="440">
        <f t="shared" si="1146"/>
        <v>455.88799999999998</v>
      </c>
      <c r="S405" s="279">
        <f t="shared" si="1147"/>
        <v>455.88799999999998</v>
      </c>
      <c r="T405" s="99">
        <f t="shared" si="1148"/>
        <v>440.88799999999998</v>
      </c>
      <c r="U405" s="294">
        <f t="shared" si="1149"/>
        <v>440.88799999999998</v>
      </c>
      <c r="V405" s="99">
        <f t="shared" si="1150"/>
        <v>428.88799999999998</v>
      </c>
      <c r="W405" s="294">
        <f t="shared" si="1151"/>
        <v>428.88799999999998</v>
      </c>
      <c r="X405" s="185"/>
      <c r="Y405" s="186"/>
      <c r="Z405" s="186"/>
      <c r="AA405" s="185"/>
      <c r="AB405" s="385">
        <v>2286</v>
      </c>
      <c r="AC405" s="64"/>
    </row>
    <row r="406" spans="1:29" ht="12.6" customHeight="1" x14ac:dyDescent="0.2">
      <c r="A406" s="18"/>
      <c r="B406" s="1185" t="s">
        <v>365</v>
      </c>
      <c r="C406" s="1186"/>
      <c r="D406" s="1186"/>
      <c r="E406" s="1186"/>
      <c r="F406" s="369">
        <f>0.51*X2</f>
        <v>559.98</v>
      </c>
      <c r="G406" s="295">
        <f t="shared" ref="G406:G408" si="1152">+F406*$X$1</f>
        <v>559.98</v>
      </c>
      <c r="H406" s="460"/>
      <c r="I406" s="460"/>
      <c r="J406" s="100"/>
      <c r="K406" s="100"/>
      <c r="L406" s="607">
        <f t="shared" si="1140"/>
        <v>719.98</v>
      </c>
      <c r="M406" s="278">
        <f t="shared" si="1141"/>
        <v>719.98</v>
      </c>
      <c r="N406" s="607">
        <f t="shared" si="1142"/>
        <v>659.98</v>
      </c>
      <c r="O406" s="278">
        <f t="shared" si="1143"/>
        <v>659.98</v>
      </c>
      <c r="P406" s="607">
        <f t="shared" si="1144"/>
        <v>634.98</v>
      </c>
      <c r="Q406" s="278">
        <f t="shared" si="1145"/>
        <v>634.98</v>
      </c>
      <c r="R406" s="607">
        <f t="shared" si="1146"/>
        <v>624.98</v>
      </c>
      <c r="S406" s="278">
        <f t="shared" si="1147"/>
        <v>624.98</v>
      </c>
      <c r="T406" s="100">
        <f t="shared" si="1148"/>
        <v>609.98</v>
      </c>
      <c r="U406" s="251">
        <f t="shared" si="1149"/>
        <v>609.98</v>
      </c>
      <c r="V406" s="100">
        <f t="shared" si="1150"/>
        <v>597.98</v>
      </c>
      <c r="W406" s="251">
        <f t="shared" si="1151"/>
        <v>597.98</v>
      </c>
      <c r="X406" s="216"/>
      <c r="Y406" s="215"/>
      <c r="Z406" s="215"/>
      <c r="AA406" s="216"/>
      <c r="AB406" s="385">
        <v>2287</v>
      </c>
      <c r="AC406" s="64"/>
    </row>
    <row r="407" spans="1:29" ht="12.6" customHeight="1" x14ac:dyDescent="0.2">
      <c r="A407" s="18"/>
      <c r="B407" s="1196" t="s">
        <v>374</v>
      </c>
      <c r="C407" s="1197"/>
      <c r="D407" s="1197"/>
      <c r="E407" s="1198"/>
      <c r="F407" s="365">
        <f>1*X2</f>
        <v>1098</v>
      </c>
      <c r="G407" s="279">
        <f t="shared" si="1152"/>
        <v>1098</v>
      </c>
      <c r="H407" s="271"/>
      <c r="I407" s="271"/>
      <c r="J407" s="440"/>
      <c r="K407" s="440"/>
      <c r="L407" s="440">
        <f t="shared" si="1140"/>
        <v>1258</v>
      </c>
      <c r="M407" s="279">
        <f t="shared" si="1141"/>
        <v>1258</v>
      </c>
      <c r="N407" s="440">
        <f t="shared" si="1142"/>
        <v>1198</v>
      </c>
      <c r="O407" s="279">
        <f t="shared" si="1143"/>
        <v>1198</v>
      </c>
      <c r="P407" s="440">
        <f t="shared" si="1144"/>
        <v>1173</v>
      </c>
      <c r="Q407" s="279">
        <f t="shared" si="1145"/>
        <v>1173</v>
      </c>
      <c r="R407" s="440">
        <f t="shared" si="1146"/>
        <v>1163</v>
      </c>
      <c r="S407" s="279">
        <f t="shared" si="1147"/>
        <v>1163</v>
      </c>
      <c r="T407" s="99">
        <f t="shared" si="1148"/>
        <v>1148</v>
      </c>
      <c r="U407" s="294">
        <f t="shared" si="1149"/>
        <v>1148</v>
      </c>
      <c r="V407" s="99">
        <f t="shared" si="1150"/>
        <v>1136</v>
      </c>
      <c r="W407" s="294">
        <f t="shared" si="1151"/>
        <v>1136</v>
      </c>
      <c r="X407" s="217"/>
      <c r="Y407" s="218"/>
      <c r="Z407" s="218"/>
      <c r="AA407" s="217"/>
      <c r="AB407" s="385">
        <v>2289</v>
      </c>
      <c r="AC407" s="64"/>
    </row>
    <row r="408" spans="1:29" ht="12.6" customHeight="1" x14ac:dyDescent="0.2">
      <c r="A408" s="18"/>
      <c r="B408" s="1023" t="s">
        <v>672</v>
      </c>
      <c r="C408" s="1024"/>
      <c r="D408" s="1024"/>
      <c r="E408" s="1025"/>
      <c r="F408" s="369">
        <f>0.726*X2</f>
        <v>797.14800000000002</v>
      </c>
      <c r="G408" s="278">
        <f t="shared" si="1152"/>
        <v>797.14800000000002</v>
      </c>
      <c r="H408" s="272"/>
      <c r="I408" s="272"/>
      <c r="J408" s="607"/>
      <c r="K408" s="607"/>
      <c r="L408" s="607">
        <f t="shared" si="1140"/>
        <v>957.14800000000002</v>
      </c>
      <c r="M408" s="278">
        <f t="shared" si="1141"/>
        <v>957.14800000000002</v>
      </c>
      <c r="N408" s="607">
        <f t="shared" si="1142"/>
        <v>897.14800000000002</v>
      </c>
      <c r="O408" s="278">
        <f t="shared" si="1143"/>
        <v>897.14800000000002</v>
      </c>
      <c r="P408" s="607">
        <f t="shared" si="1144"/>
        <v>872.14800000000002</v>
      </c>
      <c r="Q408" s="278">
        <f t="shared" si="1145"/>
        <v>872.14800000000002</v>
      </c>
      <c r="R408" s="607">
        <f t="shared" si="1146"/>
        <v>862.14800000000002</v>
      </c>
      <c r="S408" s="278">
        <f t="shared" si="1147"/>
        <v>862.14800000000002</v>
      </c>
      <c r="T408" s="100">
        <f t="shared" si="1148"/>
        <v>847.14800000000002</v>
      </c>
      <c r="U408" s="251">
        <f t="shared" si="1149"/>
        <v>847.14800000000002</v>
      </c>
      <c r="V408" s="100">
        <f t="shared" si="1150"/>
        <v>835.14800000000002</v>
      </c>
      <c r="W408" s="251">
        <f t="shared" si="1151"/>
        <v>835.14800000000002</v>
      </c>
      <c r="X408" s="422"/>
      <c r="Y408" s="423"/>
      <c r="Z408" s="423"/>
      <c r="AA408" s="422"/>
      <c r="AB408" s="385">
        <v>2290</v>
      </c>
      <c r="AC408" s="64"/>
    </row>
    <row r="409" spans="1:29" ht="12.6" customHeight="1" x14ac:dyDescent="0.2">
      <c r="A409" s="18"/>
      <c r="B409" s="687" t="s">
        <v>464</v>
      </c>
      <c r="C409" s="688"/>
      <c r="D409" s="688"/>
      <c r="E409" s="689"/>
      <c r="F409" s="368">
        <f>0.47*X2</f>
        <v>516.05999999999995</v>
      </c>
      <c r="G409" s="279">
        <f t="shared" ref="G409" si="1153">+F409*$X$1</f>
        <v>516.05999999999995</v>
      </c>
      <c r="H409" s="271"/>
      <c r="I409" s="271"/>
      <c r="J409" s="440"/>
      <c r="K409" s="440"/>
      <c r="L409" s="440">
        <f t="shared" si="1140"/>
        <v>676.06</v>
      </c>
      <c r="M409" s="279">
        <f t="shared" si="1141"/>
        <v>676.06</v>
      </c>
      <c r="N409" s="440">
        <f t="shared" si="1142"/>
        <v>616.05999999999995</v>
      </c>
      <c r="O409" s="279">
        <f t="shared" si="1143"/>
        <v>616.05999999999995</v>
      </c>
      <c r="P409" s="440">
        <f t="shared" si="1144"/>
        <v>591.05999999999995</v>
      </c>
      <c r="Q409" s="279">
        <f t="shared" si="1145"/>
        <v>591.05999999999995</v>
      </c>
      <c r="R409" s="440">
        <f t="shared" si="1146"/>
        <v>581.05999999999995</v>
      </c>
      <c r="S409" s="279">
        <f t="shared" si="1147"/>
        <v>581.05999999999995</v>
      </c>
      <c r="T409" s="99">
        <f t="shared" si="1148"/>
        <v>566.05999999999995</v>
      </c>
      <c r="U409" s="294">
        <f t="shared" si="1149"/>
        <v>566.05999999999995</v>
      </c>
      <c r="V409" s="99">
        <f t="shared" si="1150"/>
        <v>554.05999999999995</v>
      </c>
      <c r="W409" s="294">
        <f t="shared" si="1151"/>
        <v>554.05999999999995</v>
      </c>
      <c r="X409" s="244"/>
      <c r="Y409" s="248"/>
      <c r="Z409" s="248"/>
      <c r="AA409" s="244"/>
      <c r="AB409" s="385">
        <v>2291</v>
      </c>
      <c r="AC409" s="64"/>
    </row>
    <row r="410" spans="1:29" ht="12.6" customHeight="1" x14ac:dyDescent="0.2">
      <c r="A410" s="18"/>
      <c r="B410" s="1110" t="s">
        <v>596</v>
      </c>
      <c r="C410" s="1111"/>
      <c r="D410" s="1111"/>
      <c r="E410" s="1112"/>
      <c r="F410" s="521">
        <f>0.28*X2</f>
        <v>307.44000000000005</v>
      </c>
      <c r="G410" s="511">
        <f t="shared" ref="G410" si="1154">+F410*$X$1</f>
        <v>307.44000000000005</v>
      </c>
      <c r="H410" s="512"/>
      <c r="I410" s="512"/>
      <c r="J410" s="642"/>
      <c r="K410" s="642"/>
      <c r="L410" s="642">
        <f t="shared" si="1140"/>
        <v>467.44000000000005</v>
      </c>
      <c r="M410" s="511">
        <f t="shared" si="1141"/>
        <v>467.44000000000005</v>
      </c>
      <c r="N410" s="642">
        <f t="shared" si="1142"/>
        <v>407.44000000000005</v>
      </c>
      <c r="O410" s="511">
        <f t="shared" si="1143"/>
        <v>407.44000000000005</v>
      </c>
      <c r="P410" s="642">
        <f t="shared" si="1144"/>
        <v>382.44000000000005</v>
      </c>
      <c r="Q410" s="511">
        <f t="shared" si="1145"/>
        <v>382.44000000000005</v>
      </c>
      <c r="R410" s="642">
        <f t="shared" si="1146"/>
        <v>372.44000000000005</v>
      </c>
      <c r="S410" s="511">
        <f t="shared" si="1147"/>
        <v>372.44000000000005</v>
      </c>
      <c r="T410" s="628">
        <f t="shared" si="1148"/>
        <v>357.44000000000005</v>
      </c>
      <c r="U410" s="627">
        <f t="shared" si="1149"/>
        <v>357.44000000000005</v>
      </c>
      <c r="V410" s="628">
        <f t="shared" si="1150"/>
        <v>345.44000000000005</v>
      </c>
      <c r="W410" s="627">
        <f t="shared" si="1151"/>
        <v>345.44000000000005</v>
      </c>
      <c r="X410" s="249"/>
      <c r="Y410" s="250"/>
      <c r="Z410" s="250"/>
      <c r="AA410" s="249"/>
      <c r="AB410" s="385">
        <v>2292</v>
      </c>
      <c r="AC410" s="64"/>
    </row>
    <row r="411" spans="1:29" ht="12.6" customHeight="1" x14ac:dyDescent="0.2">
      <c r="A411" s="18"/>
      <c r="B411" s="687" t="s">
        <v>482</v>
      </c>
      <c r="C411" s="688"/>
      <c r="D411" s="688"/>
      <c r="E411" s="689"/>
      <c r="F411" s="368">
        <f>0.89*X2</f>
        <v>977.22</v>
      </c>
      <c r="G411" s="279">
        <f t="shared" ref="G411" si="1155">+F411*$X$1</f>
        <v>977.22</v>
      </c>
      <c r="H411" s="271"/>
      <c r="I411" s="271"/>
      <c r="J411" s="440"/>
      <c r="K411" s="440"/>
      <c r="L411" s="440">
        <f t="shared" si="1140"/>
        <v>1137.22</v>
      </c>
      <c r="M411" s="279">
        <f t="shared" si="1141"/>
        <v>1137.22</v>
      </c>
      <c r="N411" s="440">
        <f t="shared" si="1142"/>
        <v>1077.22</v>
      </c>
      <c r="O411" s="279">
        <f t="shared" si="1143"/>
        <v>1077.22</v>
      </c>
      <c r="P411" s="440">
        <f t="shared" si="1144"/>
        <v>1052.22</v>
      </c>
      <c r="Q411" s="279">
        <f t="shared" si="1145"/>
        <v>1052.22</v>
      </c>
      <c r="R411" s="440">
        <f t="shared" si="1146"/>
        <v>1042.22</v>
      </c>
      <c r="S411" s="279">
        <f t="shared" si="1147"/>
        <v>1042.22</v>
      </c>
      <c r="T411" s="99">
        <f t="shared" si="1148"/>
        <v>1027.22</v>
      </c>
      <c r="U411" s="294">
        <f t="shared" si="1149"/>
        <v>1027.22</v>
      </c>
      <c r="V411" s="99">
        <f t="shared" si="1150"/>
        <v>1015.22</v>
      </c>
      <c r="W411" s="294">
        <f t="shared" si="1151"/>
        <v>1015.22</v>
      </c>
      <c r="X411" s="252"/>
      <c r="Y411" s="253"/>
      <c r="Z411" s="253"/>
      <c r="AA411" s="252"/>
      <c r="AB411" s="385">
        <v>2293</v>
      </c>
      <c r="AC411" s="64"/>
    </row>
    <row r="412" spans="1:29" ht="12.6" customHeight="1" x14ac:dyDescent="0.2">
      <c r="A412" s="18"/>
      <c r="B412" s="1023" t="s">
        <v>539</v>
      </c>
      <c r="C412" s="1024"/>
      <c r="D412" s="1024"/>
      <c r="E412" s="1025"/>
      <c r="F412" s="490">
        <v>380</v>
      </c>
      <c r="G412" s="278">
        <f t="shared" ref="G412" si="1156">+F412*$X$1</f>
        <v>380</v>
      </c>
      <c r="H412" s="272"/>
      <c r="I412" s="272"/>
      <c r="J412" s="607"/>
      <c r="K412" s="607"/>
      <c r="L412" s="607">
        <f t="shared" si="1140"/>
        <v>540</v>
      </c>
      <c r="M412" s="278">
        <f t="shared" si="1141"/>
        <v>540</v>
      </c>
      <c r="N412" s="607">
        <f t="shared" si="1142"/>
        <v>480</v>
      </c>
      <c r="O412" s="278">
        <f t="shared" si="1143"/>
        <v>480</v>
      </c>
      <c r="P412" s="607">
        <f t="shared" si="1144"/>
        <v>455</v>
      </c>
      <c r="Q412" s="278">
        <f t="shared" si="1145"/>
        <v>455</v>
      </c>
      <c r="R412" s="607">
        <f t="shared" si="1146"/>
        <v>445</v>
      </c>
      <c r="S412" s="278">
        <f t="shared" si="1147"/>
        <v>445</v>
      </c>
      <c r="T412" s="100">
        <f t="shared" si="1148"/>
        <v>430</v>
      </c>
      <c r="U412" s="251">
        <f t="shared" si="1149"/>
        <v>430</v>
      </c>
      <c r="V412" s="100">
        <f t="shared" si="1150"/>
        <v>418</v>
      </c>
      <c r="W412" s="251">
        <f t="shared" si="1151"/>
        <v>418</v>
      </c>
      <c r="X412" s="316"/>
      <c r="Y412" s="317"/>
      <c r="Z412" s="317"/>
      <c r="AA412" s="316"/>
      <c r="AB412" s="385">
        <v>2294</v>
      </c>
      <c r="AC412" s="64"/>
    </row>
    <row r="413" spans="1:29" ht="12.6" customHeight="1" x14ac:dyDescent="0.2">
      <c r="A413" s="18"/>
      <c r="B413" s="687" t="s">
        <v>421</v>
      </c>
      <c r="C413" s="688"/>
      <c r="D413" s="688"/>
      <c r="E413" s="689"/>
      <c r="F413" s="368">
        <f>0.7*X2</f>
        <v>768.59999999999991</v>
      </c>
      <c r="G413" s="279">
        <f t="shared" ref="G413" si="1157">+F413*$X$1</f>
        <v>768.59999999999991</v>
      </c>
      <c r="H413" s="271"/>
      <c r="I413" s="271"/>
      <c r="J413" s="440"/>
      <c r="K413" s="440"/>
      <c r="L413" s="440">
        <f t="shared" si="1140"/>
        <v>928.59999999999991</v>
      </c>
      <c r="M413" s="279">
        <f t="shared" si="1141"/>
        <v>928.59999999999991</v>
      </c>
      <c r="N413" s="440">
        <f t="shared" si="1142"/>
        <v>868.59999999999991</v>
      </c>
      <c r="O413" s="279">
        <f t="shared" si="1143"/>
        <v>868.59999999999991</v>
      </c>
      <c r="P413" s="440">
        <f t="shared" si="1144"/>
        <v>843.59999999999991</v>
      </c>
      <c r="Q413" s="279">
        <f t="shared" si="1145"/>
        <v>843.59999999999991</v>
      </c>
      <c r="R413" s="440">
        <f t="shared" si="1146"/>
        <v>833.59999999999991</v>
      </c>
      <c r="S413" s="279">
        <f t="shared" si="1147"/>
        <v>833.59999999999991</v>
      </c>
      <c r="T413" s="99">
        <f t="shared" si="1148"/>
        <v>818.59999999999991</v>
      </c>
      <c r="U413" s="294">
        <f t="shared" si="1149"/>
        <v>818.59999999999991</v>
      </c>
      <c r="V413" s="99">
        <f t="shared" si="1150"/>
        <v>806.59999999999991</v>
      </c>
      <c r="W413" s="294">
        <f t="shared" si="1151"/>
        <v>806.59999999999991</v>
      </c>
      <c r="X413" s="219"/>
      <c r="Y413" s="220"/>
      <c r="Z413" s="220"/>
      <c r="AA413" s="219"/>
      <c r="AB413" s="385">
        <v>2295</v>
      </c>
      <c r="AC413" s="64"/>
    </row>
    <row r="414" spans="1:29" ht="12.6" customHeight="1" x14ac:dyDescent="0.2">
      <c r="A414" s="18"/>
      <c r="B414" s="1110" t="s">
        <v>376</v>
      </c>
      <c r="C414" s="1111"/>
      <c r="D414" s="1111"/>
      <c r="E414" s="1112"/>
      <c r="F414" s="521">
        <f>0.452*X2</f>
        <v>496.29599999999999</v>
      </c>
      <c r="G414" s="511">
        <f t="shared" ref="G414" si="1158">+F414*$X$1</f>
        <v>496.29599999999999</v>
      </c>
      <c r="H414" s="512"/>
      <c r="I414" s="512"/>
      <c r="J414" s="604"/>
      <c r="K414" s="604"/>
      <c r="L414" s="604">
        <f t="shared" si="1140"/>
        <v>656.29600000000005</v>
      </c>
      <c r="M414" s="511">
        <f t="shared" si="1141"/>
        <v>656.29600000000005</v>
      </c>
      <c r="N414" s="604">
        <f t="shared" si="1142"/>
        <v>596.29600000000005</v>
      </c>
      <c r="O414" s="511">
        <f t="shared" si="1143"/>
        <v>596.29600000000005</v>
      </c>
      <c r="P414" s="604">
        <f t="shared" si="1144"/>
        <v>571.29600000000005</v>
      </c>
      <c r="Q414" s="511">
        <f t="shared" si="1145"/>
        <v>571.29600000000005</v>
      </c>
      <c r="R414" s="604">
        <f t="shared" si="1146"/>
        <v>561.29600000000005</v>
      </c>
      <c r="S414" s="511">
        <f t="shared" si="1147"/>
        <v>561.29600000000005</v>
      </c>
      <c r="T414" s="628">
        <f t="shared" si="1148"/>
        <v>546.29600000000005</v>
      </c>
      <c r="U414" s="627">
        <f t="shared" si="1149"/>
        <v>546.29600000000005</v>
      </c>
      <c r="V414" s="628">
        <f t="shared" si="1150"/>
        <v>534.29600000000005</v>
      </c>
      <c r="W414" s="627">
        <f t="shared" si="1151"/>
        <v>534.29600000000005</v>
      </c>
      <c r="X414" s="219"/>
      <c r="Y414" s="220"/>
      <c r="Z414" s="220"/>
      <c r="AA414" s="219"/>
      <c r="AB414" s="385">
        <v>2296</v>
      </c>
      <c r="AC414" s="64"/>
    </row>
    <row r="415" spans="1:29" ht="12.6" customHeight="1" x14ac:dyDescent="0.2">
      <c r="A415" s="18"/>
      <c r="B415" s="687" t="s">
        <v>521</v>
      </c>
      <c r="C415" s="688"/>
      <c r="D415" s="688"/>
      <c r="E415" s="689"/>
      <c r="F415" s="368">
        <f>0.568*X2</f>
        <v>623.66399999999999</v>
      </c>
      <c r="G415" s="279">
        <f t="shared" ref="G415" si="1159">+F415*$X$1</f>
        <v>623.66399999999999</v>
      </c>
      <c r="H415" s="271"/>
      <c r="I415" s="271"/>
      <c r="J415" s="440"/>
      <c r="K415" s="279"/>
      <c r="L415" s="440">
        <f t="shared" si="1140"/>
        <v>783.66399999999999</v>
      </c>
      <c r="M415" s="279">
        <f t="shared" si="1141"/>
        <v>783.66399999999999</v>
      </c>
      <c r="N415" s="440">
        <f t="shared" si="1142"/>
        <v>723.66399999999999</v>
      </c>
      <c r="O415" s="279">
        <f t="shared" si="1143"/>
        <v>723.66399999999999</v>
      </c>
      <c r="P415" s="440">
        <f t="shared" si="1144"/>
        <v>698.66399999999999</v>
      </c>
      <c r="Q415" s="279">
        <f t="shared" si="1145"/>
        <v>698.66399999999999</v>
      </c>
      <c r="R415" s="440">
        <f t="shared" si="1146"/>
        <v>688.66399999999999</v>
      </c>
      <c r="S415" s="279">
        <f t="shared" si="1147"/>
        <v>688.66399999999999</v>
      </c>
      <c r="T415" s="99">
        <f t="shared" si="1148"/>
        <v>673.66399999999999</v>
      </c>
      <c r="U415" s="294">
        <f t="shared" si="1149"/>
        <v>673.66399999999999</v>
      </c>
      <c r="V415" s="99">
        <f t="shared" si="1150"/>
        <v>661.66399999999999</v>
      </c>
      <c r="W415" s="294">
        <f t="shared" si="1151"/>
        <v>661.66399999999999</v>
      </c>
      <c r="X415" s="302"/>
      <c r="Y415" s="303"/>
      <c r="Z415" s="303"/>
      <c r="AA415" s="302"/>
      <c r="AB415" s="385">
        <v>2299</v>
      </c>
      <c r="AC415" s="64"/>
    </row>
    <row r="416" spans="1:29" ht="12.6" customHeight="1" x14ac:dyDescent="0.2">
      <c r="A416" s="18"/>
      <c r="B416" s="733" t="s">
        <v>866</v>
      </c>
      <c r="C416" s="734"/>
      <c r="D416" s="734"/>
      <c r="E416" s="735"/>
      <c r="F416" s="364">
        <f>1.863*X2</f>
        <v>2045.5740000000001</v>
      </c>
      <c r="G416" s="278">
        <f>+F416*$X$1</f>
        <v>2045.5740000000001</v>
      </c>
      <c r="H416" s="607">
        <f t="shared" ref="H416:H419" si="1160">F416+600</f>
        <v>2645.5740000000001</v>
      </c>
      <c r="I416" s="278">
        <f t="shared" ref="I416:I420" si="1161">+H416*$X$1</f>
        <v>2645.5740000000001</v>
      </c>
      <c r="J416" s="607">
        <f t="shared" ref="J416:J419" si="1162">F416+200</f>
        <v>2245.5740000000001</v>
      </c>
      <c r="K416" s="278">
        <f t="shared" ref="K416:K420" si="1163">+J416*$X$1</f>
        <v>2245.5740000000001</v>
      </c>
      <c r="L416" s="607">
        <f>F416+150</f>
        <v>2195.5740000000001</v>
      </c>
      <c r="M416" s="278">
        <f t="shared" si="1141"/>
        <v>2195.5740000000001</v>
      </c>
      <c r="N416" s="607">
        <f>F416+110</f>
        <v>2155.5740000000001</v>
      </c>
      <c r="O416" s="278">
        <f>+N416*$X$1</f>
        <v>2155.5740000000001</v>
      </c>
      <c r="P416" s="607">
        <f>F416+90</f>
        <v>2135.5740000000001</v>
      </c>
      <c r="Q416" s="278">
        <f t="shared" si="1145"/>
        <v>2135.5740000000001</v>
      </c>
      <c r="R416" s="607">
        <f>F416+70</f>
        <v>2115.5740000000001</v>
      </c>
      <c r="S416" s="278">
        <f>+R416*$X$1</f>
        <v>2115.5740000000001</v>
      </c>
      <c r="T416" s="607">
        <f>F416+56</f>
        <v>2101.5740000000001</v>
      </c>
      <c r="U416" s="278">
        <f t="shared" si="1149"/>
        <v>2101.5740000000001</v>
      </c>
      <c r="V416" s="607">
        <f>F416+49</f>
        <v>2094.5740000000001</v>
      </c>
      <c r="W416" s="278">
        <f t="shared" si="1151"/>
        <v>2094.5740000000001</v>
      </c>
      <c r="X416" s="671"/>
      <c r="Y416" s="732"/>
      <c r="Z416" s="732"/>
      <c r="AA416" s="653"/>
      <c r="AB416" s="385">
        <v>2310</v>
      </c>
      <c r="AC416" s="64"/>
    </row>
    <row r="417" spans="1:29" ht="12.6" customHeight="1" x14ac:dyDescent="0.2">
      <c r="A417" s="18"/>
      <c r="B417" s="693" t="s">
        <v>411</v>
      </c>
      <c r="C417" s="985"/>
      <c r="D417" s="985"/>
      <c r="E417" s="985"/>
      <c r="F417" s="365">
        <f>1.3*X2</f>
        <v>1427.4</v>
      </c>
      <c r="G417" s="279">
        <f>+F417*$X$1</f>
        <v>1427.4</v>
      </c>
      <c r="H417" s="440">
        <f t="shared" si="1160"/>
        <v>2027.4</v>
      </c>
      <c r="I417" s="279">
        <f t="shared" si="1161"/>
        <v>2027.4</v>
      </c>
      <c r="J417" s="440">
        <f t="shared" si="1162"/>
        <v>1627.4</v>
      </c>
      <c r="K417" s="279">
        <f t="shared" si="1163"/>
        <v>1627.4</v>
      </c>
      <c r="L417" s="440">
        <f>F417+150</f>
        <v>1577.4</v>
      </c>
      <c r="M417" s="279">
        <f t="shared" si="1141"/>
        <v>1577.4</v>
      </c>
      <c r="N417" s="440">
        <f>F417+110</f>
        <v>1537.4</v>
      </c>
      <c r="O417" s="279">
        <f>+N417*$X$1</f>
        <v>1537.4</v>
      </c>
      <c r="P417" s="440">
        <f>F417+90</f>
        <v>1517.4</v>
      </c>
      <c r="Q417" s="279">
        <f t="shared" si="1145"/>
        <v>1517.4</v>
      </c>
      <c r="R417" s="440">
        <f>F417+70</f>
        <v>1497.4</v>
      </c>
      <c r="S417" s="279">
        <f>+R417*$X$1</f>
        <v>1497.4</v>
      </c>
      <c r="T417" s="440">
        <f>F417+56</f>
        <v>1483.4</v>
      </c>
      <c r="U417" s="279">
        <f t="shared" si="1149"/>
        <v>1483.4</v>
      </c>
      <c r="V417" s="440">
        <f>F417+49</f>
        <v>1476.4</v>
      </c>
      <c r="W417" s="279">
        <f t="shared" si="1151"/>
        <v>1476.4</v>
      </c>
      <c r="X417" s="671"/>
      <c r="Y417" s="732"/>
      <c r="Z417" s="732"/>
      <c r="AA417" s="653"/>
      <c r="AB417" s="385">
        <v>2322</v>
      </c>
      <c r="AC417" s="64"/>
    </row>
    <row r="418" spans="1:29" ht="12.6" customHeight="1" x14ac:dyDescent="0.2">
      <c r="A418" s="18"/>
      <c r="B418" s="692" t="s">
        <v>902</v>
      </c>
      <c r="C418" s="979"/>
      <c r="D418" s="979"/>
      <c r="E418" s="979"/>
      <c r="F418" s="364">
        <f>1.3*X2</f>
        <v>1427.4</v>
      </c>
      <c r="G418" s="278">
        <f>+F418*$X$1</f>
        <v>1427.4</v>
      </c>
      <c r="H418" s="607">
        <f t="shared" si="1160"/>
        <v>2027.4</v>
      </c>
      <c r="I418" s="278">
        <f t="shared" si="1161"/>
        <v>2027.4</v>
      </c>
      <c r="J418" s="607">
        <f t="shared" si="1162"/>
        <v>1627.4</v>
      </c>
      <c r="K418" s="278">
        <f t="shared" si="1163"/>
        <v>1627.4</v>
      </c>
      <c r="L418" s="607">
        <f>F418+150</f>
        <v>1577.4</v>
      </c>
      <c r="M418" s="278">
        <f t="shared" si="1141"/>
        <v>1577.4</v>
      </c>
      <c r="N418" s="607">
        <f>F418+110</f>
        <v>1537.4</v>
      </c>
      <c r="O418" s="278">
        <f>+N418*$X$1</f>
        <v>1537.4</v>
      </c>
      <c r="P418" s="607">
        <f>F418+90</f>
        <v>1517.4</v>
      </c>
      <c r="Q418" s="278">
        <f t="shared" si="1145"/>
        <v>1517.4</v>
      </c>
      <c r="R418" s="607">
        <f>F418+70</f>
        <v>1497.4</v>
      </c>
      <c r="S418" s="278">
        <f>+R418*$X$1</f>
        <v>1497.4</v>
      </c>
      <c r="T418" s="607">
        <f>F418+56</f>
        <v>1483.4</v>
      </c>
      <c r="U418" s="278">
        <f t="shared" si="1149"/>
        <v>1483.4</v>
      </c>
      <c r="V418" s="607">
        <f>F418+49</f>
        <v>1476.4</v>
      </c>
      <c r="W418" s="278">
        <f t="shared" si="1151"/>
        <v>1476.4</v>
      </c>
      <c r="X418" s="671"/>
      <c r="Y418" s="732"/>
      <c r="Z418" s="732"/>
      <c r="AA418" s="653"/>
      <c r="AB418" s="385" t="s">
        <v>924</v>
      </c>
      <c r="AC418" s="64"/>
    </row>
    <row r="419" spans="1:29" ht="12.6" customHeight="1" x14ac:dyDescent="0.2">
      <c r="A419" s="18"/>
      <c r="B419" s="693" t="s">
        <v>819</v>
      </c>
      <c r="C419" s="985"/>
      <c r="D419" s="985"/>
      <c r="E419" s="985"/>
      <c r="F419" s="365">
        <f>1.53*X2</f>
        <v>1679.94</v>
      </c>
      <c r="G419" s="279">
        <f>+F419*$X$1</f>
        <v>1679.94</v>
      </c>
      <c r="H419" s="440">
        <f t="shared" si="1160"/>
        <v>2279.94</v>
      </c>
      <c r="I419" s="279">
        <f t="shared" si="1161"/>
        <v>2279.94</v>
      </c>
      <c r="J419" s="440">
        <f t="shared" si="1162"/>
        <v>1879.94</v>
      </c>
      <c r="K419" s="279">
        <f t="shared" si="1163"/>
        <v>1879.94</v>
      </c>
      <c r="L419" s="440">
        <f>F419+150</f>
        <v>1829.94</v>
      </c>
      <c r="M419" s="279">
        <f t="shared" si="1141"/>
        <v>1829.94</v>
      </c>
      <c r="N419" s="440">
        <f>F419+110</f>
        <v>1789.94</v>
      </c>
      <c r="O419" s="279">
        <f>+N419*$X$1</f>
        <v>1789.94</v>
      </c>
      <c r="P419" s="440">
        <f>F419+90</f>
        <v>1769.94</v>
      </c>
      <c r="Q419" s="279">
        <f t="shared" si="1145"/>
        <v>1769.94</v>
      </c>
      <c r="R419" s="440">
        <f>F419+70</f>
        <v>1749.94</v>
      </c>
      <c r="S419" s="279">
        <f>+R419*$X$1</f>
        <v>1749.94</v>
      </c>
      <c r="T419" s="440">
        <f>F419+56</f>
        <v>1735.94</v>
      </c>
      <c r="U419" s="279">
        <f t="shared" si="1149"/>
        <v>1735.94</v>
      </c>
      <c r="V419" s="440">
        <f>F419+49</f>
        <v>1728.94</v>
      </c>
      <c r="W419" s="279">
        <f t="shared" si="1151"/>
        <v>1728.94</v>
      </c>
      <c r="X419" s="671"/>
      <c r="Y419" s="732"/>
      <c r="Z419" s="732"/>
      <c r="AA419" s="653"/>
      <c r="AB419" s="385">
        <v>2327</v>
      </c>
      <c r="AC419" s="64"/>
    </row>
    <row r="420" spans="1:29" ht="12.6" customHeight="1" x14ac:dyDescent="0.2">
      <c r="A420" s="18"/>
      <c r="B420" s="733" t="s">
        <v>247</v>
      </c>
      <c r="C420" s="948"/>
      <c r="D420" s="948"/>
      <c r="E420" s="949"/>
      <c r="F420" s="364">
        <f>3.407*X2</f>
        <v>3740.886</v>
      </c>
      <c r="G420" s="278">
        <f>+F420*$X$1</f>
        <v>3740.886</v>
      </c>
      <c r="H420" s="607">
        <f>F420+650</f>
        <v>4390.8860000000004</v>
      </c>
      <c r="I420" s="278">
        <f t="shared" si="1161"/>
        <v>4390.8860000000004</v>
      </c>
      <c r="J420" s="607">
        <f>F420+230</f>
        <v>3970.886</v>
      </c>
      <c r="K420" s="278">
        <f t="shared" si="1163"/>
        <v>3970.886</v>
      </c>
      <c r="L420" s="607">
        <f>F420+190</f>
        <v>3930.886</v>
      </c>
      <c r="M420" s="278">
        <f t="shared" si="1141"/>
        <v>3930.886</v>
      </c>
      <c r="N420" s="607">
        <f>F420+150</f>
        <v>3890.886</v>
      </c>
      <c r="O420" s="278">
        <f t="shared" ref="O420" si="1164">+N420*$X$1</f>
        <v>3890.886</v>
      </c>
      <c r="P420" s="607">
        <f>F420+130</f>
        <v>3870.886</v>
      </c>
      <c r="Q420" s="278">
        <f t="shared" si="1145"/>
        <v>3870.886</v>
      </c>
      <c r="R420" s="607">
        <f>F420+110</f>
        <v>3850.886</v>
      </c>
      <c r="S420" s="278">
        <f t="shared" ref="S420" si="1165">+R420*$X$1</f>
        <v>3850.886</v>
      </c>
      <c r="T420" s="607">
        <f>F420+90</f>
        <v>3830.886</v>
      </c>
      <c r="U420" s="278">
        <f t="shared" si="1149"/>
        <v>3830.886</v>
      </c>
      <c r="V420" s="607">
        <f>F420+70</f>
        <v>3810.886</v>
      </c>
      <c r="W420" s="278">
        <f t="shared" si="1151"/>
        <v>3810.886</v>
      </c>
      <c r="X420" s="671"/>
      <c r="Y420" s="732"/>
      <c r="Z420" s="732"/>
      <c r="AA420" s="653"/>
      <c r="AB420" s="385">
        <v>2330</v>
      </c>
      <c r="AC420" s="64"/>
    </row>
    <row r="421" spans="1:29" ht="12.6" customHeight="1" x14ac:dyDescent="0.2">
      <c r="A421" s="101"/>
      <c r="B421" s="760" t="s">
        <v>890</v>
      </c>
      <c r="C421" s="761"/>
      <c r="D421" s="761"/>
      <c r="E421" s="762"/>
      <c r="F421" s="365">
        <f>1.3*X2</f>
        <v>1427.4</v>
      </c>
      <c r="G421" s="279">
        <f t="shared" ref="G421" si="1166">+F421*$X$1</f>
        <v>1427.4</v>
      </c>
      <c r="H421" s="440">
        <f>F421+650</f>
        <v>2077.4</v>
      </c>
      <c r="I421" s="279">
        <f t="shared" ref="I421" si="1167">+H421*$X$1</f>
        <v>2077.4</v>
      </c>
      <c r="J421" s="440">
        <f>F421+230</f>
        <v>1657.4</v>
      </c>
      <c r="K421" s="279">
        <f t="shared" ref="K421" si="1168">+J421*$X$1</f>
        <v>1657.4</v>
      </c>
      <c r="L421" s="440">
        <f>F421+190</f>
        <v>1617.4</v>
      </c>
      <c r="M421" s="279">
        <f t="shared" ref="M421" si="1169">+L421*$X$1</f>
        <v>1617.4</v>
      </c>
      <c r="N421" s="440">
        <f>F421+150</f>
        <v>1577.4</v>
      </c>
      <c r="O421" s="279">
        <f t="shared" ref="O421" si="1170">+N421*$X$1</f>
        <v>1577.4</v>
      </c>
      <c r="P421" s="440">
        <f>F421+130</f>
        <v>1557.4</v>
      </c>
      <c r="Q421" s="279">
        <f t="shared" ref="Q421" si="1171">+P421*$X$1</f>
        <v>1557.4</v>
      </c>
      <c r="R421" s="440">
        <f>F421+110</f>
        <v>1537.4</v>
      </c>
      <c r="S421" s="279">
        <f t="shared" ref="S421" si="1172">+R421*$X$1</f>
        <v>1537.4</v>
      </c>
      <c r="T421" s="440">
        <f>F421+90</f>
        <v>1517.4</v>
      </c>
      <c r="U421" s="279">
        <f t="shared" ref="U421" si="1173">+T421*$X$1</f>
        <v>1517.4</v>
      </c>
      <c r="V421" s="440">
        <f>F421+70</f>
        <v>1497.4</v>
      </c>
      <c r="W421" s="279">
        <f t="shared" ref="W421" si="1174">+V421*$X$1</f>
        <v>1497.4</v>
      </c>
      <c r="X421" s="671"/>
      <c r="Y421" s="732"/>
      <c r="Z421" s="732"/>
      <c r="AA421" s="653"/>
      <c r="AB421" s="385">
        <v>2331</v>
      </c>
      <c r="AC421" s="64"/>
    </row>
    <row r="422" spans="1:29" ht="12.6" customHeight="1" x14ac:dyDescent="0.2">
      <c r="A422" s="101"/>
      <c r="B422" s="760" t="s">
        <v>884</v>
      </c>
      <c r="C422" s="761"/>
      <c r="D422" s="761"/>
      <c r="E422" s="762"/>
      <c r="F422" s="559">
        <f>4.8*X2</f>
        <v>5270.4</v>
      </c>
      <c r="G422" s="278">
        <f t="shared" ref="G422" si="1175">+F422*$X$1</f>
        <v>5270.4</v>
      </c>
      <c r="H422" s="607">
        <f>F422+800</f>
        <v>6070.4</v>
      </c>
      <c r="I422" s="278">
        <f t="shared" ref="I422:I424" si="1176">+H422*$X$1</f>
        <v>6070.4</v>
      </c>
      <c r="J422" s="607">
        <f>F422+350</f>
        <v>5620.4</v>
      </c>
      <c r="K422" s="278">
        <f t="shared" ref="K422:K424" si="1177">+J422*$X$1</f>
        <v>5620.4</v>
      </c>
      <c r="L422" s="607">
        <f>F422+290</f>
        <v>5560.4</v>
      </c>
      <c r="M422" s="278">
        <f t="shared" ref="M422:M424" si="1178">+L422*$X$1</f>
        <v>5560.4</v>
      </c>
      <c r="N422" s="607">
        <f>F422+230</f>
        <v>5500.4</v>
      </c>
      <c r="O422" s="278">
        <f t="shared" ref="O422:O424" si="1179">+N422*$X$1</f>
        <v>5500.4</v>
      </c>
      <c r="P422" s="607">
        <f>F422+200</f>
        <v>5470.4</v>
      </c>
      <c r="Q422" s="278">
        <f t="shared" ref="Q422:Q424" si="1180">+P422*$X$1</f>
        <v>5470.4</v>
      </c>
      <c r="R422" s="607">
        <f>F422+170</f>
        <v>5440.4</v>
      </c>
      <c r="S422" s="278">
        <f t="shared" ref="S422:S424" si="1181">+R422*$X$1</f>
        <v>5440.4</v>
      </c>
      <c r="T422" s="607">
        <f>F422+140</f>
        <v>5410.4</v>
      </c>
      <c r="U422" s="278">
        <f t="shared" ref="U422:U424" si="1182">+T422*$X$1</f>
        <v>5410.4</v>
      </c>
      <c r="V422" s="607">
        <f>F422+105</f>
        <v>5375.4</v>
      </c>
      <c r="W422" s="278">
        <f t="shared" ref="W422:W424" si="1183">+V422*$X$1</f>
        <v>5375.4</v>
      </c>
      <c r="X422" s="671"/>
      <c r="Y422" s="732"/>
      <c r="Z422" s="732"/>
      <c r="AA422" s="653"/>
      <c r="AB422" s="385">
        <v>2332</v>
      </c>
      <c r="AC422" s="64"/>
    </row>
    <row r="423" spans="1:29" ht="12.6" customHeight="1" x14ac:dyDescent="0.2">
      <c r="A423" s="101"/>
      <c r="B423" s="748" t="s">
        <v>377</v>
      </c>
      <c r="C423" s="772"/>
      <c r="D423" s="772"/>
      <c r="E423" s="773"/>
      <c r="F423" s="365">
        <f>1.15*X2</f>
        <v>1262.6999999999998</v>
      </c>
      <c r="G423" s="279">
        <f t="shared" ref="G423" si="1184">+F423*$X$1</f>
        <v>1262.6999999999998</v>
      </c>
      <c r="H423" s="440">
        <f>F423+650</f>
        <v>1912.6999999999998</v>
      </c>
      <c r="I423" s="279">
        <f t="shared" si="1176"/>
        <v>1912.6999999999998</v>
      </c>
      <c r="J423" s="440">
        <f>F423+230</f>
        <v>1492.6999999999998</v>
      </c>
      <c r="K423" s="279">
        <f t="shared" si="1177"/>
        <v>1492.6999999999998</v>
      </c>
      <c r="L423" s="440">
        <f>F423+190</f>
        <v>1452.6999999999998</v>
      </c>
      <c r="M423" s="279">
        <f t="shared" si="1178"/>
        <v>1452.6999999999998</v>
      </c>
      <c r="N423" s="440">
        <f>F423+150</f>
        <v>1412.6999999999998</v>
      </c>
      <c r="O423" s="279">
        <f t="shared" si="1179"/>
        <v>1412.6999999999998</v>
      </c>
      <c r="P423" s="440">
        <f>F423+130</f>
        <v>1392.6999999999998</v>
      </c>
      <c r="Q423" s="279">
        <f t="shared" si="1180"/>
        <v>1392.6999999999998</v>
      </c>
      <c r="R423" s="440">
        <f>F423+110</f>
        <v>1372.6999999999998</v>
      </c>
      <c r="S423" s="279">
        <f t="shared" si="1181"/>
        <v>1372.6999999999998</v>
      </c>
      <c r="T423" s="440">
        <f>F423+90</f>
        <v>1352.6999999999998</v>
      </c>
      <c r="U423" s="279">
        <f t="shared" si="1182"/>
        <v>1352.6999999999998</v>
      </c>
      <c r="V423" s="440">
        <f>F423+70</f>
        <v>1332.6999999999998</v>
      </c>
      <c r="W423" s="279">
        <f t="shared" si="1183"/>
        <v>1332.6999999999998</v>
      </c>
      <c r="X423" s="671"/>
      <c r="Y423" s="732"/>
      <c r="Z423" s="732"/>
      <c r="AA423" s="653"/>
      <c r="AB423" s="385">
        <v>2334</v>
      </c>
      <c r="AC423" s="64"/>
    </row>
    <row r="424" spans="1:29" ht="12.6" customHeight="1" x14ac:dyDescent="0.2">
      <c r="A424" s="101"/>
      <c r="B424" s="768" t="s">
        <v>248</v>
      </c>
      <c r="C424" s="769"/>
      <c r="D424" s="769"/>
      <c r="E424" s="770"/>
      <c r="F424" s="369">
        <f>1.35*X2</f>
        <v>1482.3000000000002</v>
      </c>
      <c r="G424" s="295">
        <f t="shared" ref="G424" si="1185">+F424*$X$1</f>
        <v>1482.3000000000002</v>
      </c>
      <c r="H424" s="607">
        <f>F424+650</f>
        <v>2132.3000000000002</v>
      </c>
      <c r="I424" s="278">
        <f t="shared" si="1176"/>
        <v>2132.3000000000002</v>
      </c>
      <c r="J424" s="607">
        <f>F424+230</f>
        <v>1712.3000000000002</v>
      </c>
      <c r="K424" s="278">
        <f t="shared" si="1177"/>
        <v>1712.3000000000002</v>
      </c>
      <c r="L424" s="607">
        <f>F424+190</f>
        <v>1672.3000000000002</v>
      </c>
      <c r="M424" s="278">
        <f t="shared" si="1178"/>
        <v>1672.3000000000002</v>
      </c>
      <c r="N424" s="607">
        <f>F424+150</f>
        <v>1632.3000000000002</v>
      </c>
      <c r="O424" s="278">
        <f t="shared" si="1179"/>
        <v>1632.3000000000002</v>
      </c>
      <c r="P424" s="607">
        <f>F424+130</f>
        <v>1612.3000000000002</v>
      </c>
      <c r="Q424" s="278">
        <f t="shared" si="1180"/>
        <v>1612.3000000000002</v>
      </c>
      <c r="R424" s="607">
        <f>F424+110</f>
        <v>1592.3000000000002</v>
      </c>
      <c r="S424" s="278">
        <f t="shared" si="1181"/>
        <v>1592.3000000000002</v>
      </c>
      <c r="T424" s="607">
        <f>F424+90</f>
        <v>1572.3000000000002</v>
      </c>
      <c r="U424" s="278">
        <f t="shared" si="1182"/>
        <v>1572.3000000000002</v>
      </c>
      <c r="V424" s="607">
        <f>F424+70</f>
        <v>1552.3000000000002</v>
      </c>
      <c r="W424" s="278">
        <f t="shared" si="1183"/>
        <v>1552.3000000000002</v>
      </c>
      <c r="X424" s="671"/>
      <c r="Y424" s="732"/>
      <c r="Z424" s="732"/>
      <c r="AA424" s="653"/>
      <c r="AB424" s="399">
        <v>2336</v>
      </c>
      <c r="AC424" s="64"/>
    </row>
    <row r="425" spans="1:29" ht="12.6" customHeight="1" x14ac:dyDescent="0.2">
      <c r="A425" s="18"/>
      <c r="B425" s="748" t="s">
        <v>249</v>
      </c>
      <c r="C425" s="772"/>
      <c r="D425" s="772"/>
      <c r="E425" s="773"/>
      <c r="F425" s="365">
        <f>1.36*X2</f>
        <v>1493.2800000000002</v>
      </c>
      <c r="G425" s="279">
        <f>+F425*$X$1</f>
        <v>1493.2800000000002</v>
      </c>
      <c r="H425" s="440">
        <f t="shared" ref="H425" si="1186">F425+600</f>
        <v>2093.2800000000002</v>
      </c>
      <c r="I425" s="279">
        <f t="shared" ref="I425" si="1187">+H425*$X$1</f>
        <v>2093.2800000000002</v>
      </c>
      <c r="J425" s="440">
        <f t="shared" ref="J425" si="1188">F425+200</f>
        <v>1693.2800000000002</v>
      </c>
      <c r="K425" s="279">
        <f t="shared" ref="K425" si="1189">+J425*$X$1</f>
        <v>1693.2800000000002</v>
      </c>
      <c r="L425" s="440">
        <f>F425+150</f>
        <v>1643.2800000000002</v>
      </c>
      <c r="M425" s="279">
        <f t="shared" ref="M425" si="1190">+L425*$X$1</f>
        <v>1643.2800000000002</v>
      </c>
      <c r="N425" s="440">
        <f>F425+110</f>
        <v>1603.2800000000002</v>
      </c>
      <c r="O425" s="279">
        <f t="shared" ref="O425:O439" si="1191">+N425*$X$1</f>
        <v>1603.2800000000002</v>
      </c>
      <c r="P425" s="440">
        <f>F425+90</f>
        <v>1583.2800000000002</v>
      </c>
      <c r="Q425" s="279">
        <f t="shared" ref="Q425" si="1192">+P425*$X$1</f>
        <v>1583.2800000000002</v>
      </c>
      <c r="R425" s="440">
        <f>F425+70</f>
        <v>1563.2800000000002</v>
      </c>
      <c r="S425" s="279">
        <f t="shared" ref="S425:S439" si="1193">+R425*$X$1</f>
        <v>1563.2800000000002</v>
      </c>
      <c r="T425" s="440">
        <f>F425+56</f>
        <v>1549.2800000000002</v>
      </c>
      <c r="U425" s="279">
        <f t="shared" ref="U425" si="1194">+T425*$X$1</f>
        <v>1549.2800000000002</v>
      </c>
      <c r="V425" s="440">
        <f>F425+49</f>
        <v>1542.2800000000002</v>
      </c>
      <c r="W425" s="279">
        <f t="shared" ref="W425" si="1195">+V425*$X$1</f>
        <v>1542.2800000000002</v>
      </c>
      <c r="X425" s="671"/>
      <c r="Y425" s="732"/>
      <c r="Z425" s="732"/>
      <c r="AA425" s="653"/>
      <c r="AB425" s="385">
        <v>2337</v>
      </c>
      <c r="AC425" s="64"/>
    </row>
    <row r="426" spans="1:29" ht="12.6" customHeight="1" x14ac:dyDescent="0.2">
      <c r="A426" s="18"/>
      <c r="B426" s="1010" t="s">
        <v>250</v>
      </c>
      <c r="C426" s="1011"/>
      <c r="D426" s="1011"/>
      <c r="E426" s="1012"/>
      <c r="F426" s="559">
        <f>1.84*X2</f>
        <v>2020.3200000000002</v>
      </c>
      <c r="G426" s="560">
        <f t="shared" ref="G426" si="1196">+F426*$X$1</f>
        <v>2020.3200000000002</v>
      </c>
      <c r="H426" s="607">
        <f t="shared" ref="H426:H427" si="1197">F426+600</f>
        <v>2620.3200000000002</v>
      </c>
      <c r="I426" s="278">
        <f t="shared" ref="I426:I427" si="1198">+H426*$X$1</f>
        <v>2620.3200000000002</v>
      </c>
      <c r="J426" s="607">
        <f t="shared" ref="J426:J427" si="1199">F426+200</f>
        <v>2220.3200000000002</v>
      </c>
      <c r="K426" s="278">
        <f t="shared" ref="K426:K427" si="1200">+J426*$X$1</f>
        <v>2220.3200000000002</v>
      </c>
      <c r="L426" s="607">
        <f>F426+150</f>
        <v>2170.3200000000002</v>
      </c>
      <c r="M426" s="278">
        <f t="shared" ref="M426:M427" si="1201">+L426*$X$1</f>
        <v>2170.3200000000002</v>
      </c>
      <c r="N426" s="607">
        <f>F426+110</f>
        <v>2130.3200000000002</v>
      </c>
      <c r="O426" s="278">
        <f t="shared" si="1191"/>
        <v>2130.3200000000002</v>
      </c>
      <c r="P426" s="607">
        <f>F426+90</f>
        <v>2110.3200000000002</v>
      </c>
      <c r="Q426" s="278">
        <f t="shared" ref="Q426:Q427" si="1202">+P426*$X$1</f>
        <v>2110.3200000000002</v>
      </c>
      <c r="R426" s="607">
        <f>F426+70</f>
        <v>2090.3200000000002</v>
      </c>
      <c r="S426" s="278">
        <f t="shared" si="1193"/>
        <v>2090.3200000000002</v>
      </c>
      <c r="T426" s="607">
        <f>F426+56</f>
        <v>2076.3200000000002</v>
      </c>
      <c r="U426" s="278">
        <f t="shared" ref="U426:U427" si="1203">+T426*$X$1</f>
        <v>2076.3200000000002</v>
      </c>
      <c r="V426" s="607">
        <f>F426+49</f>
        <v>2069.3200000000002</v>
      </c>
      <c r="W426" s="278">
        <f t="shared" ref="W426:W427" si="1204">+V426*$X$1</f>
        <v>2069.3200000000002</v>
      </c>
      <c r="X426" s="671"/>
      <c r="Y426" s="732"/>
      <c r="Z426" s="732"/>
      <c r="AA426" s="653"/>
      <c r="AB426" s="385">
        <v>2338</v>
      </c>
      <c r="AC426" s="64"/>
    </row>
    <row r="427" spans="1:29" ht="12.6" customHeight="1" x14ac:dyDescent="0.2">
      <c r="A427" s="18"/>
      <c r="B427" s="748" t="s">
        <v>316</v>
      </c>
      <c r="C427" s="772"/>
      <c r="D427" s="772"/>
      <c r="E427" s="773"/>
      <c r="F427" s="561">
        <f>1.24*X2</f>
        <v>1361.52</v>
      </c>
      <c r="G427" s="279">
        <f>+F427*$X$1</f>
        <v>1361.52</v>
      </c>
      <c r="H427" s="440">
        <f t="shared" si="1197"/>
        <v>1961.52</v>
      </c>
      <c r="I427" s="279">
        <f t="shared" si="1198"/>
        <v>1961.52</v>
      </c>
      <c r="J427" s="440">
        <f t="shared" si="1199"/>
        <v>1561.52</v>
      </c>
      <c r="K427" s="279">
        <f t="shared" si="1200"/>
        <v>1561.52</v>
      </c>
      <c r="L427" s="440">
        <f>F427+150</f>
        <v>1511.52</v>
      </c>
      <c r="M427" s="279">
        <f t="shared" si="1201"/>
        <v>1511.52</v>
      </c>
      <c r="N427" s="440">
        <f>F427+110</f>
        <v>1471.52</v>
      </c>
      <c r="O427" s="279">
        <f t="shared" si="1191"/>
        <v>1471.52</v>
      </c>
      <c r="P427" s="440">
        <f>F427+90</f>
        <v>1451.52</v>
      </c>
      <c r="Q427" s="279">
        <f t="shared" si="1202"/>
        <v>1451.52</v>
      </c>
      <c r="R427" s="440">
        <f>F427+70</f>
        <v>1431.52</v>
      </c>
      <c r="S427" s="279">
        <f t="shared" si="1193"/>
        <v>1431.52</v>
      </c>
      <c r="T427" s="440">
        <f>F427+56</f>
        <v>1417.52</v>
      </c>
      <c r="U427" s="279">
        <f t="shared" si="1203"/>
        <v>1417.52</v>
      </c>
      <c r="V427" s="440">
        <f>F427+49</f>
        <v>1410.52</v>
      </c>
      <c r="W427" s="279">
        <f t="shared" si="1204"/>
        <v>1410.52</v>
      </c>
      <c r="X427" s="170"/>
      <c r="Y427" s="173"/>
      <c r="Z427" s="173"/>
      <c r="AA427" s="172"/>
      <c r="AB427" s="385">
        <v>2340</v>
      </c>
      <c r="AC427" s="64"/>
    </row>
    <row r="428" spans="1:29" ht="12.6" customHeight="1" x14ac:dyDescent="0.2">
      <c r="A428" s="18"/>
      <c r="B428" s="733" t="s">
        <v>912</v>
      </c>
      <c r="C428" s="734"/>
      <c r="D428" s="734"/>
      <c r="E428" s="735"/>
      <c r="F428" s="559">
        <f>6.96*X2</f>
        <v>7642.08</v>
      </c>
      <c r="G428" s="278">
        <f t="shared" ref="G428" si="1205">+F428*$X$1</f>
        <v>7642.08</v>
      </c>
      <c r="H428" s="607">
        <f>F428+800</f>
        <v>8442.08</v>
      </c>
      <c r="I428" s="278">
        <f t="shared" ref="I428" si="1206">+H428*$X$1</f>
        <v>8442.08</v>
      </c>
      <c r="J428" s="607">
        <f>F428+300</f>
        <v>7942.08</v>
      </c>
      <c r="K428" s="278">
        <f t="shared" ref="K428" si="1207">+J428*$X$1</f>
        <v>7942.08</v>
      </c>
      <c r="L428" s="607">
        <f>F428+230</f>
        <v>7872.08</v>
      </c>
      <c r="M428" s="278">
        <f t="shared" ref="M428" si="1208">+L428*$X$1</f>
        <v>7872.08</v>
      </c>
      <c r="N428" s="607">
        <f>F428+170</f>
        <v>7812.08</v>
      </c>
      <c r="O428" s="278">
        <f t="shared" si="1191"/>
        <v>7812.08</v>
      </c>
      <c r="P428" s="607">
        <f>F428+140</f>
        <v>7782.08</v>
      </c>
      <c r="Q428" s="278">
        <f t="shared" ref="Q428" si="1209">+P428*$X$1</f>
        <v>7782.08</v>
      </c>
      <c r="R428" s="607">
        <f>F428+110</f>
        <v>7752.08</v>
      </c>
      <c r="S428" s="278">
        <f t="shared" si="1193"/>
        <v>7752.08</v>
      </c>
      <c r="T428" s="607">
        <f>F428+90</f>
        <v>7732.08</v>
      </c>
      <c r="U428" s="278">
        <f t="shared" ref="U428" si="1210">+T428*$X$1</f>
        <v>7732.08</v>
      </c>
      <c r="V428" s="607">
        <f>F428+78</f>
        <v>7720.08</v>
      </c>
      <c r="W428" s="278">
        <f t="shared" ref="W428" si="1211">+V428*$X$1</f>
        <v>7720.08</v>
      </c>
      <c r="X428" s="537"/>
      <c r="Y428" s="538"/>
      <c r="Z428" s="538"/>
      <c r="AA428" s="539"/>
      <c r="AB428" s="385">
        <v>2341</v>
      </c>
      <c r="AC428" s="64"/>
    </row>
    <row r="429" spans="1:29" ht="12.6" customHeight="1" x14ac:dyDescent="0.2">
      <c r="A429" s="18"/>
      <c r="B429" s="748" t="s">
        <v>682</v>
      </c>
      <c r="C429" s="772"/>
      <c r="D429" s="772"/>
      <c r="E429" s="773"/>
      <c r="F429" s="365">
        <f>11.93*X2</f>
        <v>13099.14</v>
      </c>
      <c r="G429" s="279">
        <f t="shared" ref="G429" si="1212">+F429*$X$1</f>
        <v>13099.14</v>
      </c>
      <c r="H429" s="440">
        <f t="shared" ref="H429:H439" si="1213">F429+600</f>
        <v>13699.14</v>
      </c>
      <c r="I429" s="279">
        <f t="shared" ref="I429:I440" si="1214">+H429*$X$1</f>
        <v>13699.14</v>
      </c>
      <c r="J429" s="440">
        <f t="shared" ref="J429:J439" si="1215">F429+200</f>
        <v>13299.14</v>
      </c>
      <c r="K429" s="279">
        <f t="shared" ref="K429:K440" si="1216">+J429*$X$1</f>
        <v>13299.14</v>
      </c>
      <c r="L429" s="440">
        <f t="shared" ref="L429:L439" si="1217">F429+150</f>
        <v>13249.14</v>
      </c>
      <c r="M429" s="279">
        <f t="shared" ref="M429:M440" si="1218">+L429*$X$1</f>
        <v>13249.14</v>
      </c>
      <c r="N429" s="440">
        <f t="shared" ref="N429:N439" si="1219">F429+110</f>
        <v>13209.14</v>
      </c>
      <c r="O429" s="279">
        <f t="shared" si="1191"/>
        <v>13209.14</v>
      </c>
      <c r="P429" s="440">
        <f t="shared" ref="P429:P439" si="1220">F429+90</f>
        <v>13189.14</v>
      </c>
      <c r="Q429" s="279">
        <f t="shared" ref="Q429:Q440" si="1221">+P429*$X$1</f>
        <v>13189.14</v>
      </c>
      <c r="R429" s="440">
        <f t="shared" ref="R429:R439" si="1222">F429+70</f>
        <v>13169.14</v>
      </c>
      <c r="S429" s="279">
        <f t="shared" si="1193"/>
        <v>13169.14</v>
      </c>
      <c r="T429" s="440">
        <f t="shared" ref="T429:T439" si="1223">F429+56</f>
        <v>13155.14</v>
      </c>
      <c r="U429" s="279">
        <f t="shared" ref="U429:U440" si="1224">+T429*$X$1</f>
        <v>13155.14</v>
      </c>
      <c r="V429" s="440">
        <f t="shared" ref="V429:V439" si="1225">F429+49</f>
        <v>13148.14</v>
      </c>
      <c r="W429" s="279">
        <f t="shared" ref="W429:W440" si="1226">+V429*$X$1</f>
        <v>13148.14</v>
      </c>
      <c r="X429" s="426"/>
      <c r="Y429" s="427"/>
      <c r="Z429" s="427"/>
      <c r="AA429" s="428"/>
      <c r="AB429" s="385">
        <v>2342</v>
      </c>
      <c r="AC429" s="64"/>
    </row>
    <row r="430" spans="1:29" ht="12.6" customHeight="1" x14ac:dyDescent="0.2">
      <c r="A430" s="18"/>
      <c r="B430" s="1010" t="s">
        <v>681</v>
      </c>
      <c r="C430" s="1011"/>
      <c r="D430" s="1011"/>
      <c r="E430" s="1012"/>
      <c r="F430" s="559">
        <f>14.07*X2</f>
        <v>15448.86</v>
      </c>
      <c r="G430" s="560">
        <f t="shared" ref="G430" si="1227">+F430*$X$1</f>
        <v>15448.86</v>
      </c>
      <c r="H430" s="607">
        <f t="shared" si="1213"/>
        <v>16048.86</v>
      </c>
      <c r="I430" s="278">
        <f t="shared" si="1214"/>
        <v>16048.86</v>
      </c>
      <c r="J430" s="607">
        <f t="shared" si="1215"/>
        <v>15648.86</v>
      </c>
      <c r="K430" s="278">
        <f t="shared" si="1216"/>
        <v>15648.86</v>
      </c>
      <c r="L430" s="607">
        <f t="shared" si="1217"/>
        <v>15598.86</v>
      </c>
      <c r="M430" s="278">
        <f t="shared" si="1218"/>
        <v>15598.86</v>
      </c>
      <c r="N430" s="607">
        <f t="shared" si="1219"/>
        <v>15558.86</v>
      </c>
      <c r="O430" s="278">
        <f t="shared" si="1191"/>
        <v>15558.86</v>
      </c>
      <c r="P430" s="607">
        <f t="shared" si="1220"/>
        <v>15538.86</v>
      </c>
      <c r="Q430" s="278">
        <f t="shared" si="1221"/>
        <v>15538.86</v>
      </c>
      <c r="R430" s="607">
        <f t="shared" si="1222"/>
        <v>15518.86</v>
      </c>
      <c r="S430" s="278">
        <f t="shared" si="1193"/>
        <v>15518.86</v>
      </c>
      <c r="T430" s="607">
        <f t="shared" si="1223"/>
        <v>15504.86</v>
      </c>
      <c r="U430" s="278">
        <f t="shared" si="1224"/>
        <v>15504.86</v>
      </c>
      <c r="V430" s="607">
        <f t="shared" si="1225"/>
        <v>15497.86</v>
      </c>
      <c r="W430" s="278">
        <f t="shared" si="1226"/>
        <v>15497.86</v>
      </c>
      <c r="X430" s="426"/>
      <c r="Y430" s="427"/>
      <c r="Z430" s="427"/>
      <c r="AA430" s="428"/>
      <c r="AB430" s="385">
        <v>2343</v>
      </c>
      <c r="AC430" s="64"/>
    </row>
    <row r="431" spans="1:29" ht="12.6" customHeight="1" x14ac:dyDescent="0.2">
      <c r="A431" s="18"/>
      <c r="B431" s="760" t="s">
        <v>831</v>
      </c>
      <c r="C431" s="761"/>
      <c r="D431" s="761"/>
      <c r="E431" s="762"/>
      <c r="F431" s="365">
        <f>9.42*X2</f>
        <v>10343.16</v>
      </c>
      <c r="G431" s="279">
        <f>+F431*$X$1</f>
        <v>10343.16</v>
      </c>
      <c r="H431" s="440">
        <f t="shared" si="1213"/>
        <v>10943.16</v>
      </c>
      <c r="I431" s="279">
        <f t="shared" si="1214"/>
        <v>10943.16</v>
      </c>
      <c r="J431" s="440">
        <f t="shared" si="1215"/>
        <v>10543.16</v>
      </c>
      <c r="K431" s="279">
        <f t="shared" si="1216"/>
        <v>10543.16</v>
      </c>
      <c r="L431" s="440">
        <f t="shared" si="1217"/>
        <v>10493.16</v>
      </c>
      <c r="M431" s="279">
        <f t="shared" si="1218"/>
        <v>10493.16</v>
      </c>
      <c r="N431" s="440">
        <f t="shared" si="1219"/>
        <v>10453.16</v>
      </c>
      <c r="O431" s="279">
        <f t="shared" si="1191"/>
        <v>10453.16</v>
      </c>
      <c r="P431" s="440">
        <f t="shared" si="1220"/>
        <v>10433.16</v>
      </c>
      <c r="Q431" s="279">
        <f t="shared" si="1221"/>
        <v>10433.16</v>
      </c>
      <c r="R431" s="440">
        <f t="shared" si="1222"/>
        <v>10413.16</v>
      </c>
      <c r="S431" s="279">
        <f t="shared" si="1193"/>
        <v>10413.16</v>
      </c>
      <c r="T431" s="440">
        <f t="shared" si="1223"/>
        <v>10399.16</v>
      </c>
      <c r="U431" s="279">
        <f t="shared" si="1224"/>
        <v>10399.16</v>
      </c>
      <c r="V431" s="440">
        <f t="shared" si="1225"/>
        <v>10392.16</v>
      </c>
      <c r="W431" s="279">
        <f t="shared" si="1226"/>
        <v>10392.16</v>
      </c>
      <c r="X431" s="483"/>
      <c r="Y431" s="484"/>
      <c r="Z431" s="484"/>
      <c r="AA431" s="485"/>
      <c r="AB431" s="385" t="s">
        <v>832</v>
      </c>
      <c r="AC431" s="64"/>
    </row>
    <row r="432" spans="1:29" ht="12.6" customHeight="1" x14ac:dyDescent="0.2">
      <c r="A432" s="18"/>
      <c r="B432" s="1010" t="s">
        <v>422</v>
      </c>
      <c r="C432" s="1011"/>
      <c r="D432" s="1011"/>
      <c r="E432" s="1012"/>
      <c r="F432" s="559">
        <f>8.5*X2</f>
        <v>9333</v>
      </c>
      <c r="G432" s="560">
        <f t="shared" ref="G432" si="1228">+F432*$X$1</f>
        <v>9333</v>
      </c>
      <c r="H432" s="607">
        <f t="shared" si="1213"/>
        <v>9933</v>
      </c>
      <c r="I432" s="278">
        <f t="shared" si="1214"/>
        <v>9933</v>
      </c>
      <c r="J432" s="607">
        <f t="shared" si="1215"/>
        <v>9533</v>
      </c>
      <c r="K432" s="278">
        <f t="shared" si="1216"/>
        <v>9533</v>
      </c>
      <c r="L432" s="607">
        <f t="shared" si="1217"/>
        <v>9483</v>
      </c>
      <c r="M432" s="278">
        <f t="shared" si="1218"/>
        <v>9483</v>
      </c>
      <c r="N432" s="607">
        <f t="shared" si="1219"/>
        <v>9443</v>
      </c>
      <c r="O432" s="278">
        <f t="shared" si="1191"/>
        <v>9443</v>
      </c>
      <c r="P432" s="607">
        <f t="shared" si="1220"/>
        <v>9423</v>
      </c>
      <c r="Q432" s="278">
        <f t="shared" si="1221"/>
        <v>9423</v>
      </c>
      <c r="R432" s="607">
        <f t="shared" si="1222"/>
        <v>9403</v>
      </c>
      <c r="S432" s="278">
        <f t="shared" si="1193"/>
        <v>9403</v>
      </c>
      <c r="T432" s="607">
        <f t="shared" si="1223"/>
        <v>9389</v>
      </c>
      <c r="U432" s="278">
        <f t="shared" si="1224"/>
        <v>9389</v>
      </c>
      <c r="V432" s="607">
        <f t="shared" si="1225"/>
        <v>9382</v>
      </c>
      <c r="W432" s="278">
        <f t="shared" si="1226"/>
        <v>9382</v>
      </c>
      <c r="X432" s="235"/>
      <c r="Y432" s="233"/>
      <c r="Z432" s="233"/>
      <c r="AA432" s="234"/>
      <c r="AB432" s="385">
        <v>2346</v>
      </c>
      <c r="AC432" s="64"/>
    </row>
    <row r="433" spans="1:35" ht="12.6" customHeight="1" x14ac:dyDescent="0.2">
      <c r="A433" s="18"/>
      <c r="B433" s="748" t="s">
        <v>683</v>
      </c>
      <c r="C433" s="772"/>
      <c r="D433" s="772"/>
      <c r="E433" s="773"/>
      <c r="F433" s="365">
        <f>11.9*X2</f>
        <v>13066.2</v>
      </c>
      <c r="G433" s="279">
        <f t="shared" ref="G433" si="1229">+F433*$X$1</f>
        <v>13066.2</v>
      </c>
      <c r="H433" s="440">
        <f t="shared" si="1213"/>
        <v>13666.2</v>
      </c>
      <c r="I433" s="279">
        <f t="shared" si="1214"/>
        <v>13666.2</v>
      </c>
      <c r="J433" s="440">
        <f t="shared" si="1215"/>
        <v>13266.2</v>
      </c>
      <c r="K433" s="279">
        <f t="shared" si="1216"/>
        <v>13266.2</v>
      </c>
      <c r="L433" s="440">
        <f t="shared" si="1217"/>
        <v>13216.2</v>
      </c>
      <c r="M433" s="279">
        <f t="shared" si="1218"/>
        <v>13216.2</v>
      </c>
      <c r="N433" s="440">
        <f t="shared" si="1219"/>
        <v>13176.2</v>
      </c>
      <c r="O433" s="279">
        <f t="shared" si="1191"/>
        <v>13176.2</v>
      </c>
      <c r="P433" s="440">
        <f t="shared" si="1220"/>
        <v>13156.2</v>
      </c>
      <c r="Q433" s="279">
        <f t="shared" si="1221"/>
        <v>13156.2</v>
      </c>
      <c r="R433" s="440">
        <f t="shared" si="1222"/>
        <v>13136.2</v>
      </c>
      <c r="S433" s="279">
        <f t="shared" si="1193"/>
        <v>13136.2</v>
      </c>
      <c r="T433" s="440">
        <f t="shared" si="1223"/>
        <v>13122.2</v>
      </c>
      <c r="U433" s="279">
        <f t="shared" si="1224"/>
        <v>13122.2</v>
      </c>
      <c r="V433" s="440">
        <f t="shared" si="1225"/>
        <v>13115.2</v>
      </c>
      <c r="W433" s="279">
        <f t="shared" si="1226"/>
        <v>13115.2</v>
      </c>
      <c r="X433" s="426"/>
      <c r="Y433" s="427"/>
      <c r="Z433" s="427"/>
      <c r="AA433" s="428"/>
      <c r="AB433" s="385" t="s">
        <v>692</v>
      </c>
      <c r="AC433" s="64"/>
    </row>
    <row r="434" spans="1:35" ht="12.6" customHeight="1" x14ac:dyDescent="0.2">
      <c r="A434" s="18"/>
      <c r="B434" s="1010" t="s">
        <v>684</v>
      </c>
      <c r="C434" s="1011"/>
      <c r="D434" s="1011"/>
      <c r="E434" s="1012"/>
      <c r="F434" s="559">
        <f>12.7*X2</f>
        <v>13944.599999999999</v>
      </c>
      <c r="G434" s="560">
        <f t="shared" ref="G434" si="1230">+F434*$X$1</f>
        <v>13944.599999999999</v>
      </c>
      <c r="H434" s="607">
        <f t="shared" si="1213"/>
        <v>14544.599999999999</v>
      </c>
      <c r="I434" s="278">
        <f t="shared" si="1214"/>
        <v>14544.599999999999</v>
      </c>
      <c r="J434" s="607">
        <f t="shared" si="1215"/>
        <v>14144.599999999999</v>
      </c>
      <c r="K434" s="278">
        <f t="shared" si="1216"/>
        <v>14144.599999999999</v>
      </c>
      <c r="L434" s="607">
        <f t="shared" si="1217"/>
        <v>14094.599999999999</v>
      </c>
      <c r="M434" s="278">
        <f t="shared" si="1218"/>
        <v>14094.599999999999</v>
      </c>
      <c r="N434" s="607">
        <f t="shared" si="1219"/>
        <v>14054.599999999999</v>
      </c>
      <c r="O434" s="278">
        <f t="shared" si="1191"/>
        <v>14054.599999999999</v>
      </c>
      <c r="P434" s="607">
        <f t="shared" si="1220"/>
        <v>14034.599999999999</v>
      </c>
      <c r="Q434" s="278">
        <f t="shared" si="1221"/>
        <v>14034.599999999999</v>
      </c>
      <c r="R434" s="607">
        <f t="shared" si="1222"/>
        <v>14014.599999999999</v>
      </c>
      <c r="S434" s="278">
        <f t="shared" si="1193"/>
        <v>14014.599999999999</v>
      </c>
      <c r="T434" s="607">
        <f t="shared" si="1223"/>
        <v>14000.599999999999</v>
      </c>
      <c r="U434" s="278">
        <f t="shared" si="1224"/>
        <v>14000.599999999999</v>
      </c>
      <c r="V434" s="607">
        <f t="shared" si="1225"/>
        <v>13993.599999999999</v>
      </c>
      <c r="W434" s="278">
        <f t="shared" si="1226"/>
        <v>13993.599999999999</v>
      </c>
      <c r="X434" s="426"/>
      <c r="Y434" s="427"/>
      <c r="Z434" s="427"/>
      <c r="AA434" s="428"/>
      <c r="AB434" s="385" t="s">
        <v>743</v>
      </c>
      <c r="AC434" s="64"/>
    </row>
    <row r="435" spans="1:35" ht="12.6" customHeight="1" x14ac:dyDescent="0.2">
      <c r="A435" s="18"/>
      <c r="B435" s="748" t="s">
        <v>570</v>
      </c>
      <c r="C435" s="772"/>
      <c r="D435" s="772"/>
      <c r="E435" s="773"/>
      <c r="F435" s="365">
        <f>2.57*X2</f>
        <v>2821.8599999999997</v>
      </c>
      <c r="G435" s="279">
        <f t="shared" ref="G435" si="1231">+F435*$X$1</f>
        <v>2821.8599999999997</v>
      </c>
      <c r="H435" s="440">
        <f t="shared" si="1213"/>
        <v>3421.8599999999997</v>
      </c>
      <c r="I435" s="279">
        <f t="shared" si="1214"/>
        <v>3421.8599999999997</v>
      </c>
      <c r="J435" s="440">
        <f t="shared" si="1215"/>
        <v>3021.8599999999997</v>
      </c>
      <c r="K435" s="279">
        <f t="shared" si="1216"/>
        <v>3021.8599999999997</v>
      </c>
      <c r="L435" s="440">
        <f t="shared" si="1217"/>
        <v>2971.8599999999997</v>
      </c>
      <c r="M435" s="279">
        <f t="shared" si="1218"/>
        <v>2971.8599999999997</v>
      </c>
      <c r="N435" s="440">
        <f t="shared" si="1219"/>
        <v>2931.8599999999997</v>
      </c>
      <c r="O435" s="279">
        <f t="shared" si="1191"/>
        <v>2931.8599999999997</v>
      </c>
      <c r="P435" s="440">
        <f t="shared" si="1220"/>
        <v>2911.8599999999997</v>
      </c>
      <c r="Q435" s="279">
        <f t="shared" si="1221"/>
        <v>2911.8599999999997</v>
      </c>
      <c r="R435" s="440">
        <f t="shared" si="1222"/>
        <v>2891.8599999999997</v>
      </c>
      <c r="S435" s="279">
        <f t="shared" si="1193"/>
        <v>2891.8599999999997</v>
      </c>
      <c r="T435" s="440">
        <f t="shared" si="1223"/>
        <v>2877.8599999999997</v>
      </c>
      <c r="U435" s="279">
        <f t="shared" si="1224"/>
        <v>2877.8599999999997</v>
      </c>
      <c r="V435" s="440">
        <f t="shared" si="1225"/>
        <v>2870.8599999999997</v>
      </c>
      <c r="W435" s="279">
        <f t="shared" si="1226"/>
        <v>2870.8599999999997</v>
      </c>
      <c r="X435" s="359"/>
      <c r="Y435" s="360"/>
      <c r="Z435" s="360"/>
      <c r="AA435" s="361"/>
      <c r="AB435" s="385">
        <v>2350</v>
      </c>
      <c r="AC435" s="64"/>
    </row>
    <row r="436" spans="1:35" ht="12.6" customHeight="1" x14ac:dyDescent="0.2">
      <c r="A436" s="18"/>
      <c r="B436" s="733" t="s">
        <v>665</v>
      </c>
      <c r="C436" s="734"/>
      <c r="D436" s="734"/>
      <c r="E436" s="735"/>
      <c r="F436" s="364">
        <f>1.59*X2</f>
        <v>1745.8200000000002</v>
      </c>
      <c r="G436" s="278">
        <f t="shared" ref="G436" si="1232">+F436*$X$1</f>
        <v>1745.8200000000002</v>
      </c>
      <c r="H436" s="607">
        <f t="shared" si="1213"/>
        <v>2345.8200000000002</v>
      </c>
      <c r="I436" s="278">
        <f t="shared" si="1214"/>
        <v>2345.8200000000002</v>
      </c>
      <c r="J436" s="607">
        <f t="shared" si="1215"/>
        <v>1945.8200000000002</v>
      </c>
      <c r="K436" s="278">
        <f t="shared" si="1216"/>
        <v>1945.8200000000002</v>
      </c>
      <c r="L436" s="607">
        <f t="shared" si="1217"/>
        <v>1895.8200000000002</v>
      </c>
      <c r="M436" s="278">
        <f t="shared" si="1218"/>
        <v>1895.8200000000002</v>
      </c>
      <c r="N436" s="607">
        <f t="shared" si="1219"/>
        <v>1855.8200000000002</v>
      </c>
      <c r="O436" s="278">
        <f t="shared" si="1191"/>
        <v>1855.8200000000002</v>
      </c>
      <c r="P436" s="607">
        <f t="shared" si="1220"/>
        <v>1835.8200000000002</v>
      </c>
      <c r="Q436" s="278">
        <f t="shared" si="1221"/>
        <v>1835.8200000000002</v>
      </c>
      <c r="R436" s="607">
        <f t="shared" si="1222"/>
        <v>1815.8200000000002</v>
      </c>
      <c r="S436" s="278">
        <f t="shared" si="1193"/>
        <v>1815.8200000000002</v>
      </c>
      <c r="T436" s="607">
        <f t="shared" si="1223"/>
        <v>1801.8200000000002</v>
      </c>
      <c r="U436" s="278">
        <f t="shared" si="1224"/>
        <v>1801.8200000000002</v>
      </c>
      <c r="V436" s="607">
        <f t="shared" si="1225"/>
        <v>1794.8200000000002</v>
      </c>
      <c r="W436" s="278">
        <f t="shared" si="1226"/>
        <v>1794.8200000000002</v>
      </c>
      <c r="X436" s="417"/>
      <c r="Y436" s="418"/>
      <c r="Z436" s="418"/>
      <c r="AA436" s="419"/>
      <c r="AB436" s="385">
        <v>2352</v>
      </c>
      <c r="AC436" s="64"/>
    </row>
    <row r="437" spans="1:35" ht="12.6" customHeight="1" x14ac:dyDescent="0.2">
      <c r="A437" s="18"/>
      <c r="B437" s="760" t="s">
        <v>891</v>
      </c>
      <c r="C437" s="761"/>
      <c r="D437" s="761"/>
      <c r="E437" s="762"/>
      <c r="F437" s="365">
        <f>1.48*X2</f>
        <v>1625.04</v>
      </c>
      <c r="G437" s="279">
        <f t="shared" ref="G437" si="1233">+F437*$X$1</f>
        <v>1625.04</v>
      </c>
      <c r="H437" s="440">
        <f t="shared" si="1213"/>
        <v>2225.04</v>
      </c>
      <c r="I437" s="279">
        <f t="shared" si="1214"/>
        <v>2225.04</v>
      </c>
      <c r="J437" s="440">
        <f t="shared" si="1215"/>
        <v>1825.04</v>
      </c>
      <c r="K437" s="279">
        <f t="shared" si="1216"/>
        <v>1825.04</v>
      </c>
      <c r="L437" s="440">
        <f t="shared" si="1217"/>
        <v>1775.04</v>
      </c>
      <c r="M437" s="279">
        <f t="shared" si="1218"/>
        <v>1775.04</v>
      </c>
      <c r="N437" s="440">
        <f t="shared" si="1219"/>
        <v>1735.04</v>
      </c>
      <c r="O437" s="279">
        <f t="shared" si="1191"/>
        <v>1735.04</v>
      </c>
      <c r="P437" s="440">
        <f t="shared" si="1220"/>
        <v>1715.04</v>
      </c>
      <c r="Q437" s="279">
        <f t="shared" si="1221"/>
        <v>1715.04</v>
      </c>
      <c r="R437" s="440">
        <f t="shared" si="1222"/>
        <v>1695.04</v>
      </c>
      <c r="S437" s="279">
        <f t="shared" si="1193"/>
        <v>1695.04</v>
      </c>
      <c r="T437" s="440">
        <f t="shared" si="1223"/>
        <v>1681.04</v>
      </c>
      <c r="U437" s="279">
        <f t="shared" si="1224"/>
        <v>1681.04</v>
      </c>
      <c r="V437" s="440">
        <f t="shared" si="1225"/>
        <v>1674.04</v>
      </c>
      <c r="W437" s="279">
        <f t="shared" si="1226"/>
        <v>1674.04</v>
      </c>
      <c r="X437" s="526"/>
      <c r="Y437" s="524"/>
      <c r="Z437" s="524"/>
      <c r="AA437" s="525"/>
      <c r="AB437" s="385">
        <v>2353</v>
      </c>
      <c r="AC437" s="64"/>
    </row>
    <row r="438" spans="1:35" ht="12.6" customHeight="1" x14ac:dyDescent="0.2">
      <c r="A438" s="18"/>
      <c r="B438" s="760" t="s">
        <v>938</v>
      </c>
      <c r="C438" s="761"/>
      <c r="D438" s="761"/>
      <c r="E438" s="762"/>
      <c r="F438" s="364">
        <f>1.732*X2</f>
        <v>1901.7359999999999</v>
      </c>
      <c r="G438" s="278">
        <f t="shared" ref="G438" si="1234">+F438*$X$1</f>
        <v>1901.7359999999999</v>
      </c>
      <c r="H438" s="607">
        <f t="shared" si="1213"/>
        <v>2501.7359999999999</v>
      </c>
      <c r="I438" s="278">
        <f t="shared" si="1214"/>
        <v>2501.7359999999999</v>
      </c>
      <c r="J438" s="607">
        <f t="shared" si="1215"/>
        <v>2101.7359999999999</v>
      </c>
      <c r="K438" s="278">
        <f t="shared" si="1216"/>
        <v>2101.7359999999999</v>
      </c>
      <c r="L438" s="607">
        <f t="shared" si="1217"/>
        <v>2051.7359999999999</v>
      </c>
      <c r="M438" s="278">
        <f t="shared" si="1218"/>
        <v>2051.7359999999999</v>
      </c>
      <c r="N438" s="607">
        <f t="shared" si="1219"/>
        <v>2011.7359999999999</v>
      </c>
      <c r="O438" s="278">
        <f t="shared" si="1191"/>
        <v>2011.7359999999999</v>
      </c>
      <c r="P438" s="607">
        <f t="shared" si="1220"/>
        <v>1991.7359999999999</v>
      </c>
      <c r="Q438" s="278">
        <f t="shared" si="1221"/>
        <v>1991.7359999999999</v>
      </c>
      <c r="R438" s="607">
        <f t="shared" si="1222"/>
        <v>1971.7359999999999</v>
      </c>
      <c r="S438" s="278">
        <f t="shared" si="1193"/>
        <v>1971.7359999999999</v>
      </c>
      <c r="T438" s="607">
        <f t="shared" si="1223"/>
        <v>1957.7359999999999</v>
      </c>
      <c r="U438" s="278">
        <f t="shared" si="1224"/>
        <v>1957.7359999999999</v>
      </c>
      <c r="V438" s="607">
        <f t="shared" si="1225"/>
        <v>1950.7359999999999</v>
      </c>
      <c r="W438" s="278">
        <f t="shared" si="1226"/>
        <v>1950.7359999999999</v>
      </c>
      <c r="X438" s="584"/>
      <c r="Y438" s="585"/>
      <c r="Z438" s="585"/>
      <c r="AA438" s="586"/>
      <c r="AB438" s="385">
        <v>2354</v>
      </c>
      <c r="AC438" s="64"/>
    </row>
    <row r="439" spans="1:35" ht="12.6" customHeight="1" x14ac:dyDescent="0.2">
      <c r="A439" s="18"/>
      <c r="B439" s="760" t="s">
        <v>937</v>
      </c>
      <c r="C439" s="761"/>
      <c r="D439" s="761"/>
      <c r="E439" s="762"/>
      <c r="F439" s="365">
        <f>1.471*X2</f>
        <v>1615.1580000000001</v>
      </c>
      <c r="G439" s="279">
        <f t="shared" ref="G439" si="1235">+F439*$X$1</f>
        <v>1615.1580000000001</v>
      </c>
      <c r="H439" s="440">
        <f t="shared" si="1213"/>
        <v>2215.1580000000004</v>
      </c>
      <c r="I439" s="279">
        <f t="shared" si="1214"/>
        <v>2215.1580000000004</v>
      </c>
      <c r="J439" s="440">
        <f t="shared" si="1215"/>
        <v>1815.1580000000001</v>
      </c>
      <c r="K439" s="279">
        <f t="shared" si="1216"/>
        <v>1815.1580000000001</v>
      </c>
      <c r="L439" s="440">
        <f t="shared" si="1217"/>
        <v>1765.1580000000001</v>
      </c>
      <c r="M439" s="279">
        <f t="shared" si="1218"/>
        <v>1765.1580000000001</v>
      </c>
      <c r="N439" s="440">
        <f t="shared" si="1219"/>
        <v>1725.1580000000001</v>
      </c>
      <c r="O439" s="279">
        <f t="shared" si="1191"/>
        <v>1725.1580000000001</v>
      </c>
      <c r="P439" s="440">
        <f t="shared" si="1220"/>
        <v>1705.1580000000001</v>
      </c>
      <c r="Q439" s="279">
        <f t="shared" si="1221"/>
        <v>1705.1580000000001</v>
      </c>
      <c r="R439" s="440">
        <f t="shared" si="1222"/>
        <v>1685.1580000000001</v>
      </c>
      <c r="S439" s="279">
        <f t="shared" si="1193"/>
        <v>1685.1580000000001</v>
      </c>
      <c r="T439" s="440">
        <f t="shared" si="1223"/>
        <v>1671.1580000000001</v>
      </c>
      <c r="U439" s="279">
        <f t="shared" si="1224"/>
        <v>1671.1580000000001</v>
      </c>
      <c r="V439" s="440">
        <f t="shared" si="1225"/>
        <v>1664.1580000000001</v>
      </c>
      <c r="W439" s="279">
        <f t="shared" si="1226"/>
        <v>1664.1580000000001</v>
      </c>
      <c r="X439" s="584"/>
      <c r="Y439" s="585"/>
      <c r="Z439" s="585"/>
      <c r="AA439" s="586"/>
      <c r="AB439" s="385">
        <v>2355</v>
      </c>
      <c r="AC439" s="64"/>
    </row>
    <row r="440" spans="1:35" ht="12.6" customHeight="1" x14ac:dyDescent="0.2">
      <c r="A440" s="18"/>
      <c r="B440" s="733" t="s">
        <v>950</v>
      </c>
      <c r="C440" s="734"/>
      <c r="D440" s="734"/>
      <c r="E440" s="735"/>
      <c r="F440" s="278">
        <f>2.95*X2</f>
        <v>3239.1000000000004</v>
      </c>
      <c r="G440" s="278">
        <f>+F440*$X$1</f>
        <v>3239.1000000000004</v>
      </c>
      <c r="H440" s="607">
        <f>F440+600</f>
        <v>3839.1000000000004</v>
      </c>
      <c r="I440" s="278">
        <f t="shared" si="1214"/>
        <v>3839.1000000000004</v>
      </c>
      <c r="J440" s="70">
        <f t="shared" ref="J440:J445" si="1236">F440+220</f>
        <v>3459.1000000000004</v>
      </c>
      <c r="K440" s="278">
        <f t="shared" si="1216"/>
        <v>3459.1000000000004</v>
      </c>
      <c r="L440" s="607">
        <f t="shared" ref="L440" si="1237">F440+150</f>
        <v>3389.1000000000004</v>
      </c>
      <c r="M440" s="278">
        <f t="shared" si="1218"/>
        <v>3389.1000000000004</v>
      </c>
      <c r="N440" s="607">
        <f t="shared" ref="N440" si="1238">F440+110</f>
        <v>3349.1000000000004</v>
      </c>
      <c r="O440" s="278">
        <f t="shared" ref="O440" si="1239">+N440*$X$1</f>
        <v>3349.1000000000004</v>
      </c>
      <c r="P440" s="607">
        <f t="shared" ref="P440" si="1240">F440+100</f>
        <v>3339.1000000000004</v>
      </c>
      <c r="Q440" s="278">
        <f t="shared" si="1221"/>
        <v>3339.1000000000004</v>
      </c>
      <c r="R440" s="607">
        <f t="shared" ref="R440" si="1241">F440+80</f>
        <v>3319.1000000000004</v>
      </c>
      <c r="S440" s="278">
        <f t="shared" ref="S440" si="1242">+R440*$X$1</f>
        <v>3319.1000000000004</v>
      </c>
      <c r="T440" s="607">
        <f t="shared" ref="T440" si="1243">F440+65</f>
        <v>3304.1000000000004</v>
      </c>
      <c r="U440" s="278">
        <f t="shared" si="1224"/>
        <v>3304.1000000000004</v>
      </c>
      <c r="V440" s="607">
        <f t="shared" ref="V440" si="1244">F440+56</f>
        <v>3295.1000000000004</v>
      </c>
      <c r="W440" s="278">
        <f t="shared" si="1226"/>
        <v>3295.1000000000004</v>
      </c>
      <c r="X440" s="671"/>
      <c r="Y440" s="652"/>
      <c r="Z440" s="652"/>
      <c r="AA440" s="653"/>
      <c r="AB440" s="385">
        <v>2500</v>
      </c>
    </row>
    <row r="441" spans="1:35" ht="12.6" customHeight="1" x14ac:dyDescent="0.2">
      <c r="A441" s="18"/>
      <c r="B441" s="748" t="s">
        <v>811</v>
      </c>
      <c r="C441" s="772"/>
      <c r="D441" s="772"/>
      <c r="E441" s="773"/>
      <c r="F441" s="279">
        <f>3.463*X2</f>
        <v>3802.3740000000003</v>
      </c>
      <c r="G441" s="279">
        <f>+F441*$X$1</f>
        <v>3802.3740000000003</v>
      </c>
      <c r="H441" s="440">
        <f>F441+600</f>
        <v>4402.3739999999998</v>
      </c>
      <c r="I441" s="279">
        <f t="shared" ref="I441:I444" si="1245">+H441*$X$1</f>
        <v>4402.3739999999998</v>
      </c>
      <c r="J441" s="87">
        <f t="shared" si="1236"/>
        <v>4022.3740000000003</v>
      </c>
      <c r="K441" s="279">
        <f t="shared" ref="K441:K445" si="1246">+J441*$X$1</f>
        <v>4022.3740000000003</v>
      </c>
      <c r="L441" s="440">
        <f t="shared" ref="L441:L445" si="1247">F441+150</f>
        <v>3952.3740000000003</v>
      </c>
      <c r="M441" s="279">
        <f t="shared" ref="M441:M445" si="1248">+L441*$X$1</f>
        <v>3952.3740000000003</v>
      </c>
      <c r="N441" s="440">
        <f t="shared" ref="N441:N445" si="1249">F441+110</f>
        <v>3912.3740000000003</v>
      </c>
      <c r="O441" s="279">
        <f t="shared" ref="O441:O445" si="1250">+N441*$X$1</f>
        <v>3912.3740000000003</v>
      </c>
      <c r="P441" s="440">
        <f t="shared" ref="P441:P445" si="1251">F441+100</f>
        <v>3902.3740000000003</v>
      </c>
      <c r="Q441" s="279">
        <f t="shared" ref="Q441:Q445" si="1252">+P441*$X$1</f>
        <v>3902.3740000000003</v>
      </c>
      <c r="R441" s="440">
        <f t="shared" ref="R441:R445" si="1253">F441+80</f>
        <v>3882.3740000000003</v>
      </c>
      <c r="S441" s="279">
        <f t="shared" ref="S441:S445" si="1254">+R441*$X$1</f>
        <v>3882.3740000000003</v>
      </c>
      <c r="T441" s="440">
        <f t="shared" ref="T441:T445" si="1255">F441+65</f>
        <v>3867.3740000000003</v>
      </c>
      <c r="U441" s="279">
        <f t="shared" ref="U441:U445" si="1256">+T441*$X$1</f>
        <v>3867.3740000000003</v>
      </c>
      <c r="V441" s="440">
        <f t="shared" ref="V441:V445" si="1257">F441+56</f>
        <v>3858.3740000000003</v>
      </c>
      <c r="W441" s="279">
        <f t="shared" ref="W441:W446" si="1258">+V441*$X$1</f>
        <v>3858.3740000000003</v>
      </c>
      <c r="X441" s="671"/>
      <c r="Y441" s="652"/>
      <c r="Z441" s="652"/>
      <c r="AA441" s="653"/>
      <c r="AB441" s="385">
        <v>2503</v>
      </c>
    </row>
    <row r="442" spans="1:35" ht="12.6" customHeight="1" x14ac:dyDescent="0.2">
      <c r="A442" s="18"/>
      <c r="B442" s="733" t="s">
        <v>812</v>
      </c>
      <c r="C442" s="734"/>
      <c r="D442" s="734"/>
      <c r="E442" s="735"/>
      <c r="F442" s="278">
        <f>0.71*X2</f>
        <v>779.57999999999993</v>
      </c>
      <c r="G442" s="278">
        <f t="shared" ref="G442" si="1259">+F442*$X$1</f>
        <v>779.57999999999993</v>
      </c>
      <c r="H442" s="607">
        <f>F442+600</f>
        <v>1379.58</v>
      </c>
      <c r="I442" s="278">
        <f t="shared" si="1245"/>
        <v>1379.58</v>
      </c>
      <c r="J442" s="70">
        <f t="shared" si="1236"/>
        <v>999.57999999999993</v>
      </c>
      <c r="K442" s="278">
        <f t="shared" si="1246"/>
        <v>999.57999999999993</v>
      </c>
      <c r="L442" s="607">
        <f t="shared" si="1247"/>
        <v>929.57999999999993</v>
      </c>
      <c r="M442" s="278">
        <f t="shared" si="1248"/>
        <v>929.57999999999993</v>
      </c>
      <c r="N442" s="607">
        <f t="shared" si="1249"/>
        <v>889.57999999999993</v>
      </c>
      <c r="O442" s="278">
        <f t="shared" si="1250"/>
        <v>889.57999999999993</v>
      </c>
      <c r="P442" s="607">
        <f t="shared" si="1251"/>
        <v>879.57999999999993</v>
      </c>
      <c r="Q442" s="278">
        <f t="shared" si="1252"/>
        <v>879.57999999999993</v>
      </c>
      <c r="R442" s="607">
        <f t="shared" si="1253"/>
        <v>859.57999999999993</v>
      </c>
      <c r="S442" s="278">
        <f t="shared" si="1254"/>
        <v>859.57999999999993</v>
      </c>
      <c r="T442" s="607">
        <f t="shared" si="1255"/>
        <v>844.57999999999993</v>
      </c>
      <c r="U442" s="278">
        <f t="shared" si="1256"/>
        <v>844.57999999999993</v>
      </c>
      <c r="V442" s="607">
        <f t="shared" si="1257"/>
        <v>835.57999999999993</v>
      </c>
      <c r="W442" s="278">
        <f t="shared" si="1258"/>
        <v>835.57999999999993</v>
      </c>
      <c r="X442" s="671"/>
      <c r="Y442" s="652"/>
      <c r="Z442" s="652"/>
      <c r="AA442" s="653"/>
      <c r="AB442" s="385">
        <v>2504</v>
      </c>
    </row>
    <row r="443" spans="1:35" ht="12.6" customHeight="1" x14ac:dyDescent="0.2">
      <c r="A443" s="18"/>
      <c r="B443" s="748" t="s">
        <v>951</v>
      </c>
      <c r="C443" s="772"/>
      <c r="D443" s="772"/>
      <c r="E443" s="773"/>
      <c r="F443" s="279">
        <f>0.96*X2</f>
        <v>1054.08</v>
      </c>
      <c r="G443" s="279">
        <f>+F443*$X$1</f>
        <v>1054.08</v>
      </c>
      <c r="H443" s="440">
        <f>F443+600</f>
        <v>1654.08</v>
      </c>
      <c r="I443" s="279">
        <f t="shared" si="1245"/>
        <v>1654.08</v>
      </c>
      <c r="J443" s="87">
        <f t="shared" si="1236"/>
        <v>1274.08</v>
      </c>
      <c r="K443" s="279">
        <f t="shared" si="1246"/>
        <v>1274.08</v>
      </c>
      <c r="L443" s="440">
        <f t="shared" si="1247"/>
        <v>1204.08</v>
      </c>
      <c r="M443" s="279">
        <f t="shared" si="1248"/>
        <v>1204.08</v>
      </c>
      <c r="N443" s="440">
        <f t="shared" si="1249"/>
        <v>1164.08</v>
      </c>
      <c r="O443" s="279">
        <f t="shared" si="1250"/>
        <v>1164.08</v>
      </c>
      <c r="P443" s="440">
        <f t="shared" si="1251"/>
        <v>1154.08</v>
      </c>
      <c r="Q443" s="279">
        <f t="shared" si="1252"/>
        <v>1154.08</v>
      </c>
      <c r="R443" s="440">
        <f t="shared" si="1253"/>
        <v>1134.08</v>
      </c>
      <c r="S443" s="279">
        <f t="shared" si="1254"/>
        <v>1134.08</v>
      </c>
      <c r="T443" s="440">
        <f t="shared" si="1255"/>
        <v>1119.08</v>
      </c>
      <c r="U443" s="279">
        <f t="shared" si="1256"/>
        <v>1119.08</v>
      </c>
      <c r="V443" s="440">
        <f t="shared" si="1257"/>
        <v>1110.08</v>
      </c>
      <c r="W443" s="279">
        <f t="shared" si="1258"/>
        <v>1110.08</v>
      </c>
      <c r="X443" s="671"/>
      <c r="Y443" s="652"/>
      <c r="Z443" s="652"/>
      <c r="AA443" s="653"/>
      <c r="AB443" s="385">
        <v>2506</v>
      </c>
    </row>
    <row r="444" spans="1:35" ht="12.6" customHeight="1" x14ac:dyDescent="0.2">
      <c r="A444" s="18"/>
      <c r="B444" s="760" t="s">
        <v>953</v>
      </c>
      <c r="C444" s="761"/>
      <c r="D444" s="761"/>
      <c r="E444" s="762"/>
      <c r="F444" s="278">
        <f>2.35*X2</f>
        <v>2580.3000000000002</v>
      </c>
      <c r="G444" s="278">
        <f>+F444*$X$1</f>
        <v>2580.3000000000002</v>
      </c>
      <c r="H444" s="607">
        <f>F444+600</f>
        <v>3180.3</v>
      </c>
      <c r="I444" s="278">
        <f t="shared" si="1245"/>
        <v>3180.3</v>
      </c>
      <c r="J444" s="70">
        <f t="shared" si="1236"/>
        <v>2800.3</v>
      </c>
      <c r="K444" s="278">
        <f t="shared" si="1246"/>
        <v>2800.3</v>
      </c>
      <c r="L444" s="607">
        <f t="shared" si="1247"/>
        <v>2730.3</v>
      </c>
      <c r="M444" s="278">
        <f t="shared" si="1248"/>
        <v>2730.3</v>
      </c>
      <c r="N444" s="607">
        <f t="shared" si="1249"/>
        <v>2690.3</v>
      </c>
      <c r="O444" s="278">
        <f t="shared" si="1250"/>
        <v>2690.3</v>
      </c>
      <c r="P444" s="607">
        <f t="shared" si="1251"/>
        <v>2680.3</v>
      </c>
      <c r="Q444" s="278">
        <f t="shared" si="1252"/>
        <v>2680.3</v>
      </c>
      <c r="R444" s="607">
        <f t="shared" si="1253"/>
        <v>2660.3</v>
      </c>
      <c r="S444" s="278">
        <f t="shared" si="1254"/>
        <v>2660.3</v>
      </c>
      <c r="T444" s="607">
        <f t="shared" si="1255"/>
        <v>2645.3</v>
      </c>
      <c r="U444" s="278">
        <f t="shared" si="1256"/>
        <v>2645.3</v>
      </c>
      <c r="V444" s="607">
        <f t="shared" si="1257"/>
        <v>2636.3</v>
      </c>
      <c r="W444" s="278">
        <f t="shared" si="1258"/>
        <v>2636.3</v>
      </c>
      <c r="X444" s="671"/>
      <c r="Y444" s="652"/>
      <c r="Z444" s="652"/>
      <c r="AA444" s="653"/>
      <c r="AB444" s="385">
        <v>2507</v>
      </c>
    </row>
    <row r="445" spans="1:35" ht="12.6" customHeight="1" x14ac:dyDescent="0.2">
      <c r="A445" s="18"/>
      <c r="B445" s="748" t="s">
        <v>472</v>
      </c>
      <c r="C445" s="983"/>
      <c r="D445" s="983"/>
      <c r="E445" s="984"/>
      <c r="F445" s="365">
        <f>3.69*X2</f>
        <v>4051.62</v>
      </c>
      <c r="G445" s="279">
        <f t="shared" ref="G445" si="1260">+F445*$X$1</f>
        <v>4051.62</v>
      </c>
      <c r="H445" s="440"/>
      <c r="I445" s="279"/>
      <c r="J445" s="87">
        <f t="shared" si="1236"/>
        <v>4271.62</v>
      </c>
      <c r="K445" s="279">
        <f t="shared" si="1246"/>
        <v>4271.62</v>
      </c>
      <c r="L445" s="440">
        <f t="shared" si="1247"/>
        <v>4201.62</v>
      </c>
      <c r="M445" s="279">
        <f t="shared" si="1248"/>
        <v>4201.62</v>
      </c>
      <c r="N445" s="440">
        <f t="shared" si="1249"/>
        <v>4161.62</v>
      </c>
      <c r="O445" s="279">
        <f t="shared" si="1250"/>
        <v>4161.62</v>
      </c>
      <c r="P445" s="440">
        <f t="shared" si="1251"/>
        <v>4151.62</v>
      </c>
      <c r="Q445" s="279">
        <f t="shared" si="1252"/>
        <v>4151.62</v>
      </c>
      <c r="R445" s="440">
        <f t="shared" si="1253"/>
        <v>4131.62</v>
      </c>
      <c r="S445" s="279">
        <f t="shared" si="1254"/>
        <v>4131.62</v>
      </c>
      <c r="T445" s="440">
        <f t="shared" si="1255"/>
        <v>4116.62</v>
      </c>
      <c r="U445" s="279">
        <f t="shared" si="1256"/>
        <v>4116.62</v>
      </c>
      <c r="V445" s="440">
        <f t="shared" si="1257"/>
        <v>4107.62</v>
      </c>
      <c r="W445" s="279">
        <f t="shared" si="1258"/>
        <v>4107.62</v>
      </c>
      <c r="X445" s="158"/>
      <c r="Y445" s="131"/>
      <c r="Z445" s="131"/>
      <c r="AA445" s="134"/>
      <c r="AB445" s="397">
        <v>3001</v>
      </c>
    </row>
    <row r="446" spans="1:35" ht="12.6" customHeight="1" x14ac:dyDescent="0.2">
      <c r="A446" s="101"/>
      <c r="B446" s="728" t="s">
        <v>772</v>
      </c>
      <c r="C446" s="729"/>
      <c r="D446" s="729"/>
      <c r="E446" s="729"/>
      <c r="F446" s="278">
        <v>4036</v>
      </c>
      <c r="G446" s="278">
        <f t="shared" ref="G446" si="1261">+F446*$X$1</f>
        <v>4036</v>
      </c>
      <c r="H446" s="272"/>
      <c r="I446" s="330"/>
      <c r="J446" s="607"/>
      <c r="K446" s="278"/>
      <c r="L446" s="607">
        <f>F446+1100</f>
        <v>5136</v>
      </c>
      <c r="M446" s="278">
        <f t="shared" ref="M446" si="1262">+L446*$X$1</f>
        <v>5136</v>
      </c>
      <c r="N446" s="607">
        <f>F446+850</f>
        <v>4886</v>
      </c>
      <c r="O446" s="278">
        <f t="shared" ref="O446:O447" si="1263">+N446*$X$1</f>
        <v>4886</v>
      </c>
      <c r="P446" s="607">
        <f>F446+810</f>
        <v>4846</v>
      </c>
      <c r="Q446" s="278">
        <f t="shared" ref="Q446:Q447" si="1264">+P446*$X$1</f>
        <v>4846</v>
      </c>
      <c r="R446" s="607">
        <f>F446+780</f>
        <v>4816</v>
      </c>
      <c r="S446" s="278">
        <f t="shared" ref="S446" si="1265">+R446*$X$1</f>
        <v>4816</v>
      </c>
      <c r="T446" s="607">
        <f>F446+750</f>
        <v>4786</v>
      </c>
      <c r="U446" s="278">
        <f t="shared" ref="U446" si="1266">+T446*$X$1</f>
        <v>4786</v>
      </c>
      <c r="V446" s="607">
        <f>F446+750</f>
        <v>4786</v>
      </c>
      <c r="W446" s="278">
        <f t="shared" si="1258"/>
        <v>4786</v>
      </c>
      <c r="X446" s="209"/>
      <c r="Y446" s="211"/>
      <c r="Z446" s="211"/>
      <c r="AA446" s="210"/>
      <c r="AB446" s="385">
        <v>5003</v>
      </c>
      <c r="AC446" s="64"/>
    </row>
    <row r="447" spans="1:35" ht="12.6" customHeight="1" x14ac:dyDescent="0.2">
      <c r="A447" s="101"/>
      <c r="B447" s="693" t="s">
        <v>773</v>
      </c>
      <c r="C447" s="694"/>
      <c r="D447" s="694"/>
      <c r="E447" s="694"/>
      <c r="F447" s="279">
        <v>4036</v>
      </c>
      <c r="G447" s="279">
        <f t="shared" ref="G447" si="1267">+F447*$X$1</f>
        <v>4036</v>
      </c>
      <c r="H447" s="440">
        <f>F447+900</f>
        <v>4936</v>
      </c>
      <c r="I447" s="279">
        <f>+H447*$X$1</f>
        <v>4936</v>
      </c>
      <c r="J447" s="87">
        <f>F447+350</f>
        <v>4386</v>
      </c>
      <c r="K447" s="279">
        <f t="shared" ref="K447" si="1268">+J447*$X$1</f>
        <v>4386</v>
      </c>
      <c r="L447" s="440">
        <f>F447+270</f>
        <v>4306</v>
      </c>
      <c r="M447" s="279">
        <f t="shared" ref="M447" si="1269">+L447*$X$1</f>
        <v>4306</v>
      </c>
      <c r="N447" s="440">
        <f>F447+230</f>
        <v>4266</v>
      </c>
      <c r="O447" s="279">
        <f t="shared" si="1263"/>
        <v>4266</v>
      </c>
      <c r="P447" s="440">
        <f>F447+185</f>
        <v>4221</v>
      </c>
      <c r="Q447" s="279">
        <f t="shared" si="1264"/>
        <v>4221</v>
      </c>
      <c r="R447" s="440">
        <f>F447+160</f>
        <v>4196</v>
      </c>
      <c r="S447" s="279">
        <f t="shared" ref="S447" si="1270">+R447*$X$1</f>
        <v>4196</v>
      </c>
      <c r="T447" s="440">
        <f>F447+140</f>
        <v>4176</v>
      </c>
      <c r="U447" s="279">
        <f t="shared" ref="U447" si="1271">+T447*$X$1</f>
        <v>4176</v>
      </c>
      <c r="V447" s="440">
        <f>F447+115</f>
        <v>4151</v>
      </c>
      <c r="W447" s="279">
        <f t="shared" ref="W447" si="1272">+V447*$X$1</f>
        <v>4151</v>
      </c>
      <c r="X447" s="416"/>
      <c r="Y447" s="414"/>
      <c r="Z447" s="414"/>
      <c r="AA447" s="415"/>
      <c r="AB447" s="385" t="s">
        <v>677</v>
      </c>
      <c r="AC447" s="64"/>
    </row>
    <row r="448" spans="1:35" ht="12.6" customHeight="1" x14ac:dyDescent="0.2">
      <c r="A448" s="18"/>
      <c r="B448" s="690" t="s">
        <v>512</v>
      </c>
      <c r="C448" s="691"/>
      <c r="D448" s="691"/>
      <c r="E448" s="691"/>
      <c r="F448" s="278">
        <v>4992</v>
      </c>
      <c r="G448" s="278">
        <f t="shared" ref="G448:G457" si="1273">+F448*$X$1</f>
        <v>4992</v>
      </c>
      <c r="H448" s="272"/>
      <c r="I448" s="330"/>
      <c r="J448" s="596"/>
      <c r="K448" s="278"/>
      <c r="L448" s="596">
        <f>F448+1400</f>
        <v>6392</v>
      </c>
      <c r="M448" s="278">
        <f t="shared" ref="M448" si="1274">+L448*$X$1</f>
        <v>6392</v>
      </c>
      <c r="N448" s="596">
        <f>F448+1100</f>
        <v>6092</v>
      </c>
      <c r="O448" s="278">
        <f t="shared" ref="O448" si="1275">+N448*$X$1</f>
        <v>6092</v>
      </c>
      <c r="P448" s="596">
        <f>F448+990</f>
        <v>5982</v>
      </c>
      <c r="Q448" s="278">
        <f t="shared" ref="Q448" si="1276">+P448*$X$1</f>
        <v>5982</v>
      </c>
      <c r="R448" s="596">
        <f>F448+950</f>
        <v>5942</v>
      </c>
      <c r="S448" s="278">
        <f>+R448*$X$1</f>
        <v>5942</v>
      </c>
      <c r="T448" s="596">
        <f>F448+910</f>
        <v>5902</v>
      </c>
      <c r="U448" s="278">
        <f>+T448*$X$1</f>
        <v>5902</v>
      </c>
      <c r="V448" s="596"/>
      <c r="W448" s="278"/>
      <c r="X448" s="976"/>
      <c r="Y448" s="977"/>
      <c r="Z448" s="977"/>
      <c r="AA448" s="978"/>
      <c r="AB448" s="189">
        <v>5008</v>
      </c>
      <c r="AC448" s="37"/>
      <c r="AD448" s="37"/>
      <c r="AE448" s="37"/>
      <c r="AF448" s="37"/>
      <c r="AG448" s="37"/>
      <c r="AH448" s="37"/>
      <c r="AI448" s="37"/>
    </row>
    <row r="449" spans="1:35" ht="12.6" customHeight="1" x14ac:dyDescent="0.2">
      <c r="A449" s="18"/>
      <c r="B449" s="748" t="s">
        <v>513</v>
      </c>
      <c r="C449" s="772"/>
      <c r="D449" s="772"/>
      <c r="E449" s="773"/>
      <c r="F449" s="279">
        <v>6786</v>
      </c>
      <c r="G449" s="279">
        <f t="shared" si="1273"/>
        <v>6786</v>
      </c>
      <c r="H449" s="271"/>
      <c r="I449" s="331"/>
      <c r="J449" s="440"/>
      <c r="K449" s="279"/>
      <c r="L449" s="440">
        <f>F449+1400</f>
        <v>8186</v>
      </c>
      <c r="M449" s="279">
        <f t="shared" ref="M449:M451" si="1277">+L449*$X$1</f>
        <v>8186</v>
      </c>
      <c r="N449" s="440">
        <f>F449+1100</f>
        <v>7886</v>
      </c>
      <c r="O449" s="279">
        <f t="shared" ref="O449:O451" si="1278">+N449*$X$1</f>
        <v>7886</v>
      </c>
      <c r="P449" s="440">
        <f>F449+990</f>
        <v>7776</v>
      </c>
      <c r="Q449" s="279">
        <f t="shared" ref="Q449:Q451" si="1279">+P449*$X$1</f>
        <v>7776</v>
      </c>
      <c r="R449" s="440">
        <f>F449+950</f>
        <v>7736</v>
      </c>
      <c r="S449" s="279">
        <f>+R449*$X$1</f>
        <v>7736</v>
      </c>
      <c r="T449" s="440">
        <f>F449+910</f>
        <v>7696</v>
      </c>
      <c r="U449" s="279">
        <f>+T449*$X$1</f>
        <v>7696</v>
      </c>
      <c r="V449" s="440"/>
      <c r="W449" s="279"/>
      <c r="X449" s="976"/>
      <c r="Y449" s="977"/>
      <c r="Z449" s="977"/>
      <c r="AA449" s="978"/>
      <c r="AB449" s="397">
        <v>5010</v>
      </c>
      <c r="AC449" s="37"/>
      <c r="AD449" s="37"/>
      <c r="AE449" s="37"/>
      <c r="AF449" s="37"/>
      <c r="AG449" s="37"/>
      <c r="AH449" s="37"/>
      <c r="AI449" s="37"/>
    </row>
    <row r="450" spans="1:35" ht="12.6" customHeight="1" x14ac:dyDescent="0.2">
      <c r="A450" s="18"/>
      <c r="B450" s="733" t="s">
        <v>514</v>
      </c>
      <c r="C450" s="734"/>
      <c r="D450" s="734"/>
      <c r="E450" s="735"/>
      <c r="F450" s="278">
        <v>3783</v>
      </c>
      <c r="G450" s="278">
        <f t="shared" ref="G450" si="1280">+F450*$X$1</f>
        <v>3783</v>
      </c>
      <c r="H450" s="272"/>
      <c r="I450" s="330"/>
      <c r="J450" s="596"/>
      <c r="K450" s="278"/>
      <c r="L450" s="607">
        <f>F450+1400</f>
        <v>5183</v>
      </c>
      <c r="M450" s="278">
        <f t="shared" si="1277"/>
        <v>5183</v>
      </c>
      <c r="N450" s="607">
        <f>F450+1100</f>
        <v>4883</v>
      </c>
      <c r="O450" s="278">
        <f t="shared" si="1278"/>
        <v>4883</v>
      </c>
      <c r="P450" s="607">
        <f>F450+990</f>
        <v>4773</v>
      </c>
      <c r="Q450" s="278">
        <f t="shared" si="1279"/>
        <v>4773</v>
      </c>
      <c r="R450" s="607">
        <f>F450+950</f>
        <v>4733</v>
      </c>
      <c r="S450" s="278">
        <f>+R450*$X$1</f>
        <v>4733</v>
      </c>
      <c r="T450" s="607">
        <f>F450+910</f>
        <v>4693</v>
      </c>
      <c r="U450" s="278">
        <f>+T450*$X$1</f>
        <v>4693</v>
      </c>
      <c r="V450" s="596"/>
      <c r="W450" s="278"/>
      <c r="X450" s="976"/>
      <c r="Y450" s="977"/>
      <c r="Z450" s="977"/>
      <c r="AA450" s="978"/>
      <c r="AB450" s="397"/>
      <c r="AC450" s="37"/>
      <c r="AD450" s="37"/>
      <c r="AE450" s="37"/>
      <c r="AF450" s="37"/>
      <c r="AG450" s="37"/>
      <c r="AH450" s="37"/>
      <c r="AI450" s="37"/>
    </row>
    <row r="451" spans="1:35" ht="12.6" customHeight="1" x14ac:dyDescent="0.2">
      <c r="A451" s="18"/>
      <c r="B451" s="748" t="s">
        <v>515</v>
      </c>
      <c r="C451" s="772"/>
      <c r="D451" s="772"/>
      <c r="E451" s="773"/>
      <c r="F451" s="279">
        <v>5616</v>
      </c>
      <c r="G451" s="279">
        <f t="shared" ref="G451:G454" si="1281">+F451*$X$1</f>
        <v>5616</v>
      </c>
      <c r="H451" s="271"/>
      <c r="I451" s="331"/>
      <c r="J451" s="440"/>
      <c r="K451" s="279"/>
      <c r="L451" s="440">
        <f>F451+1400</f>
        <v>7016</v>
      </c>
      <c r="M451" s="279">
        <f t="shared" si="1277"/>
        <v>7016</v>
      </c>
      <c r="N451" s="440">
        <f>F451+1100</f>
        <v>6716</v>
      </c>
      <c r="O451" s="279">
        <f t="shared" si="1278"/>
        <v>6716</v>
      </c>
      <c r="P451" s="440">
        <f>F451+990</f>
        <v>6606</v>
      </c>
      <c r="Q451" s="279">
        <f t="shared" si="1279"/>
        <v>6606</v>
      </c>
      <c r="R451" s="440">
        <f>F451+950</f>
        <v>6566</v>
      </c>
      <c r="S451" s="279">
        <f>+R451*$X$1</f>
        <v>6566</v>
      </c>
      <c r="T451" s="440">
        <f>F451+910</f>
        <v>6526</v>
      </c>
      <c r="U451" s="279">
        <f>+T451*$X$1</f>
        <v>6526</v>
      </c>
      <c r="V451" s="440"/>
      <c r="W451" s="279"/>
      <c r="X451" s="976"/>
      <c r="Y451" s="977"/>
      <c r="Z451" s="977"/>
      <c r="AA451" s="978"/>
      <c r="AB451" s="397"/>
      <c r="AC451" s="37"/>
      <c r="AD451" s="37"/>
      <c r="AE451" s="37"/>
      <c r="AF451" s="37"/>
      <c r="AG451" s="37"/>
      <c r="AH451" s="37"/>
      <c r="AI451" s="37"/>
    </row>
    <row r="452" spans="1:35" ht="12.6" customHeight="1" x14ac:dyDescent="0.2">
      <c r="A452" s="18"/>
      <c r="B452" s="690" t="s">
        <v>815</v>
      </c>
      <c r="C452" s="763"/>
      <c r="D452" s="763"/>
      <c r="E452" s="763"/>
      <c r="F452" s="319">
        <v>2100</v>
      </c>
      <c r="G452" s="278">
        <f t="shared" si="1281"/>
        <v>2100</v>
      </c>
      <c r="H452" s="272"/>
      <c r="I452" s="330"/>
      <c r="J452" s="70">
        <f t="shared" ref="J452" si="1282">F452+220</f>
        <v>2320</v>
      </c>
      <c r="K452" s="278">
        <f t="shared" ref="K452" si="1283">+J452*$X$1</f>
        <v>2320</v>
      </c>
      <c r="L452" s="607">
        <f t="shared" ref="L452" si="1284">F452+150</f>
        <v>2250</v>
      </c>
      <c r="M452" s="278">
        <f t="shared" ref="M452" si="1285">+L452*$X$1</f>
        <v>2250</v>
      </c>
      <c r="N452" s="607">
        <f t="shared" ref="N452" si="1286">F452+110</f>
        <v>2210</v>
      </c>
      <c r="O452" s="278">
        <f t="shared" ref="O452" si="1287">+N452*$X$1</f>
        <v>2210</v>
      </c>
      <c r="P452" s="607">
        <f t="shared" ref="P452" si="1288">F452+100</f>
        <v>2200</v>
      </c>
      <c r="Q452" s="278">
        <f t="shared" ref="Q452" si="1289">+P452*$X$1</f>
        <v>2200</v>
      </c>
      <c r="R452" s="607">
        <f t="shared" ref="R452" si="1290">F452+80</f>
        <v>2180</v>
      </c>
      <c r="S452" s="278">
        <f t="shared" ref="S452" si="1291">+R452*$X$1</f>
        <v>2180</v>
      </c>
      <c r="T452" s="607">
        <f t="shared" ref="T452" si="1292">F452+65</f>
        <v>2165</v>
      </c>
      <c r="U452" s="278">
        <f t="shared" ref="U452" si="1293">+T452*$X$1</f>
        <v>2165</v>
      </c>
      <c r="V452" s="607">
        <f t="shared" ref="V452" si="1294">F452+56</f>
        <v>2156</v>
      </c>
      <c r="W452" s="278">
        <f t="shared" ref="W452" si="1295">+V452*$X$1</f>
        <v>2156</v>
      </c>
      <c r="X452" s="1017"/>
      <c r="Y452" s="1018"/>
      <c r="Z452" s="1018"/>
      <c r="AA452" s="1019"/>
      <c r="AB452" s="397">
        <v>11604</v>
      </c>
    </row>
    <row r="453" spans="1:35" ht="12.6" customHeight="1" x14ac:dyDescent="0.2">
      <c r="A453" s="18"/>
      <c r="B453" s="672" t="s">
        <v>511</v>
      </c>
      <c r="C453" s="745"/>
      <c r="D453" s="745"/>
      <c r="E453" s="745"/>
      <c r="F453" s="318">
        <v>2100</v>
      </c>
      <c r="G453" s="279">
        <f t="shared" si="1273"/>
        <v>2100</v>
      </c>
      <c r="H453" s="271"/>
      <c r="I453" s="331"/>
      <c r="J453" s="440">
        <f>F453+330</f>
        <v>2430</v>
      </c>
      <c r="K453" s="279">
        <f t="shared" ref="K453" si="1296">+J453*$X$1</f>
        <v>2430</v>
      </c>
      <c r="L453" s="440">
        <f>F453+270</f>
        <v>2370</v>
      </c>
      <c r="M453" s="279">
        <f>+L453*$X$1</f>
        <v>2370</v>
      </c>
      <c r="N453" s="440">
        <f>F453+220</f>
        <v>2320</v>
      </c>
      <c r="O453" s="279">
        <f>+N453*$X$1</f>
        <v>2320</v>
      </c>
      <c r="P453" s="440">
        <f>F453+190</f>
        <v>2290</v>
      </c>
      <c r="Q453" s="279">
        <f t="shared" ref="Q453" si="1297">+P453*$X$1</f>
        <v>2290</v>
      </c>
      <c r="R453" s="440">
        <f>F453+170</f>
        <v>2270</v>
      </c>
      <c r="S453" s="279">
        <f>+R453*$X$1</f>
        <v>2270</v>
      </c>
      <c r="T453" s="440">
        <f>F453+140</f>
        <v>2240</v>
      </c>
      <c r="U453" s="279">
        <f t="shared" ref="U453" si="1298">+T453*$X$1</f>
        <v>2240</v>
      </c>
      <c r="V453" s="440">
        <f>F453+130</f>
        <v>2230</v>
      </c>
      <c r="W453" s="279">
        <f>+V453*$X$1</f>
        <v>2230</v>
      </c>
      <c r="X453" s="1017"/>
      <c r="Y453" s="1018"/>
      <c r="Z453" s="1018"/>
      <c r="AA453" s="1019"/>
      <c r="AB453" s="397">
        <v>11605</v>
      </c>
    </row>
    <row r="454" spans="1:35" ht="12.6" customHeight="1" x14ac:dyDescent="0.2">
      <c r="A454" s="18"/>
      <c r="B454" s="1107" t="s">
        <v>814</v>
      </c>
      <c r="C454" s="1109"/>
      <c r="D454" s="1109"/>
      <c r="E454" s="1109"/>
      <c r="F454" s="319">
        <v>950</v>
      </c>
      <c r="G454" s="278">
        <f t="shared" si="1281"/>
        <v>950</v>
      </c>
      <c r="H454" s="272"/>
      <c r="I454" s="272"/>
      <c r="J454" s="607"/>
      <c r="K454" s="278"/>
      <c r="L454" s="607"/>
      <c r="M454" s="278"/>
      <c r="N454" s="607"/>
      <c r="O454" s="278"/>
      <c r="P454" s="607"/>
      <c r="Q454" s="278"/>
      <c r="R454" s="607"/>
      <c r="S454" s="278"/>
      <c r="T454" s="100"/>
      <c r="U454" s="251"/>
      <c r="V454" s="100"/>
      <c r="W454" s="251"/>
      <c r="X454" s="1017"/>
      <c r="Y454" s="1018"/>
      <c r="Z454" s="1018"/>
      <c r="AA454" s="1019"/>
      <c r="AB454" s="400"/>
    </row>
    <row r="455" spans="1:35" ht="12.6" customHeight="1" x14ac:dyDescent="0.2">
      <c r="A455" s="18"/>
      <c r="B455" s="672" t="s">
        <v>251</v>
      </c>
      <c r="C455" s="745"/>
      <c r="D455" s="745"/>
      <c r="E455" s="745"/>
      <c r="F455" s="279">
        <v>1090</v>
      </c>
      <c r="G455" s="279">
        <f t="shared" si="1273"/>
        <v>1090</v>
      </c>
      <c r="H455" s="271"/>
      <c r="I455" s="271"/>
      <c r="J455" s="87">
        <f t="shared" ref="J455" si="1299">F455+220</f>
        <v>1310</v>
      </c>
      <c r="K455" s="279">
        <f t="shared" ref="K455" si="1300">+J455*$X$1</f>
        <v>1310</v>
      </c>
      <c r="L455" s="440">
        <f t="shared" ref="L455" si="1301">F455+150</f>
        <v>1240</v>
      </c>
      <c r="M455" s="279">
        <f t="shared" ref="M455" si="1302">+L455*$X$1</f>
        <v>1240</v>
      </c>
      <c r="N455" s="440">
        <f t="shared" ref="N455" si="1303">F455+110</f>
        <v>1200</v>
      </c>
      <c r="O455" s="279">
        <f t="shared" ref="O455" si="1304">+N455*$X$1</f>
        <v>1200</v>
      </c>
      <c r="P455" s="440">
        <f t="shared" ref="P455" si="1305">F455+100</f>
        <v>1190</v>
      </c>
      <c r="Q455" s="279">
        <f t="shared" ref="Q455" si="1306">+P455*$X$1</f>
        <v>1190</v>
      </c>
      <c r="R455" s="440">
        <f t="shared" ref="R455" si="1307">F455+80</f>
        <v>1170</v>
      </c>
      <c r="S455" s="279">
        <f t="shared" ref="S455" si="1308">+R455*$X$1</f>
        <v>1170</v>
      </c>
      <c r="T455" s="440">
        <f t="shared" ref="T455" si="1309">F455+65</f>
        <v>1155</v>
      </c>
      <c r="U455" s="279">
        <f t="shared" ref="U455" si="1310">+T455*$X$1</f>
        <v>1155</v>
      </c>
      <c r="V455" s="440">
        <f t="shared" ref="V455" si="1311">F455+56</f>
        <v>1146</v>
      </c>
      <c r="W455" s="279">
        <f t="shared" ref="W455" si="1312">+V455*$X$1</f>
        <v>1146</v>
      </c>
      <c r="X455" s="147"/>
      <c r="Y455" s="128"/>
      <c r="Z455" s="128"/>
      <c r="AA455" s="128"/>
      <c r="AB455" s="401"/>
    </row>
    <row r="456" spans="1:35" ht="12.6" customHeight="1" x14ac:dyDescent="0.2">
      <c r="A456" s="101"/>
      <c r="B456" s="751" t="s">
        <v>252</v>
      </c>
      <c r="C456" s="1209"/>
      <c r="D456" s="1209"/>
      <c r="E456" s="1209"/>
      <c r="F456" s="511">
        <v>60</v>
      </c>
      <c r="G456" s="511">
        <f t="shared" si="1273"/>
        <v>60</v>
      </c>
      <c r="H456" s="604"/>
      <c r="I456" s="604"/>
      <c r="J456" s="604"/>
      <c r="K456" s="604"/>
      <c r="L456" s="604"/>
      <c r="M456" s="604"/>
      <c r="N456" s="604"/>
      <c r="O456" s="511"/>
      <c r="P456" s="604"/>
      <c r="Q456" s="511"/>
      <c r="R456" s="604"/>
      <c r="S456" s="511"/>
      <c r="T456" s="604"/>
      <c r="U456" s="511"/>
      <c r="V456" s="604"/>
      <c r="W456" s="511"/>
      <c r="X456" s="147"/>
      <c r="Y456" s="128"/>
      <c r="Z456" s="128"/>
      <c r="AA456" s="128"/>
      <c r="AB456" s="189">
        <v>11612</v>
      </c>
    </row>
    <row r="457" spans="1:35" ht="12.6" customHeight="1" x14ac:dyDescent="0.2">
      <c r="A457" s="18"/>
      <c r="B457" s="748" t="s">
        <v>808</v>
      </c>
      <c r="C457" s="772"/>
      <c r="D457" s="772"/>
      <c r="E457" s="773"/>
      <c r="F457" s="365">
        <f>1.4*X2</f>
        <v>1537.1999999999998</v>
      </c>
      <c r="G457" s="279">
        <f t="shared" si="1273"/>
        <v>1537.1999999999998</v>
      </c>
      <c r="H457" s="440">
        <f t="shared" ref="H457" si="1313">F457+600</f>
        <v>2137.1999999999998</v>
      </c>
      <c r="I457" s="279">
        <f t="shared" ref="I457" si="1314">+H457*$X$1</f>
        <v>2137.1999999999998</v>
      </c>
      <c r="J457" s="440">
        <f t="shared" ref="J457" si="1315">F457+200</f>
        <v>1737.1999999999998</v>
      </c>
      <c r="K457" s="279">
        <f t="shared" ref="K457" si="1316">+J457*$X$1</f>
        <v>1737.1999999999998</v>
      </c>
      <c r="L457" s="440">
        <f>F457+150</f>
        <v>1687.1999999999998</v>
      </c>
      <c r="M457" s="279">
        <f t="shared" ref="M457" si="1317">+L457*$X$1</f>
        <v>1687.1999999999998</v>
      </c>
      <c r="N457" s="440">
        <f>F457+110</f>
        <v>1647.1999999999998</v>
      </c>
      <c r="O457" s="279">
        <f>+N457*$X$1</f>
        <v>1647.1999999999998</v>
      </c>
      <c r="P457" s="440">
        <f>F457+90</f>
        <v>1627.1999999999998</v>
      </c>
      <c r="Q457" s="279">
        <f t="shared" ref="Q457" si="1318">+P457*$X$1</f>
        <v>1627.1999999999998</v>
      </c>
      <c r="R457" s="440">
        <f>F457+70</f>
        <v>1607.1999999999998</v>
      </c>
      <c r="S457" s="279">
        <f>+R457*$X$1</f>
        <v>1607.1999999999998</v>
      </c>
      <c r="T457" s="440">
        <f>F457+56</f>
        <v>1593.1999999999998</v>
      </c>
      <c r="U457" s="279">
        <f t="shared" ref="U457" si="1319">+T457*$X$1</f>
        <v>1593.1999999999998</v>
      </c>
      <c r="V457" s="440">
        <f>F457+49</f>
        <v>1586.1999999999998</v>
      </c>
      <c r="W457" s="279">
        <f t="shared" ref="W457" si="1320">+V457*$X$1</f>
        <v>1586.1999999999998</v>
      </c>
      <c r="X457" s="652"/>
      <c r="Y457" s="732"/>
      <c r="Z457" s="732"/>
      <c r="AA457" s="653"/>
      <c r="AB457" s="189" t="s">
        <v>809</v>
      </c>
    </row>
    <row r="458" spans="1:35" ht="12.6" customHeight="1" x14ac:dyDescent="0.2">
      <c r="A458" s="18"/>
      <c r="B458" s="733" t="s">
        <v>807</v>
      </c>
      <c r="C458" s="734"/>
      <c r="D458" s="734"/>
      <c r="E458" s="735"/>
      <c r="F458" s="364">
        <f>1.29*X2</f>
        <v>1416.42</v>
      </c>
      <c r="G458" s="278">
        <f t="shared" ref="G458" si="1321">+F458*$X$1</f>
        <v>1416.42</v>
      </c>
      <c r="H458" s="607">
        <f t="shared" ref="H458" si="1322">F458+600</f>
        <v>2016.42</v>
      </c>
      <c r="I458" s="278">
        <f t="shared" ref="I458:I460" si="1323">+H458*$X$1</f>
        <v>2016.42</v>
      </c>
      <c r="J458" s="607">
        <f t="shared" ref="J458" si="1324">F458+200</f>
        <v>1616.42</v>
      </c>
      <c r="K458" s="278">
        <f t="shared" ref="K458:K460" si="1325">+J458*$X$1</f>
        <v>1616.42</v>
      </c>
      <c r="L458" s="607">
        <f>F458+150</f>
        <v>1566.42</v>
      </c>
      <c r="M458" s="278">
        <f t="shared" ref="M458:M460" si="1326">+L458*$X$1</f>
        <v>1566.42</v>
      </c>
      <c r="N458" s="607">
        <f>F458+110</f>
        <v>1526.42</v>
      </c>
      <c r="O458" s="278">
        <f>+N458*$X$1</f>
        <v>1526.42</v>
      </c>
      <c r="P458" s="607">
        <f>F458+90</f>
        <v>1506.42</v>
      </c>
      <c r="Q458" s="278">
        <f t="shared" ref="Q458:Q460" si="1327">+P458*$X$1</f>
        <v>1506.42</v>
      </c>
      <c r="R458" s="607">
        <f>F458+70</f>
        <v>1486.42</v>
      </c>
      <c r="S458" s="278">
        <f>+R458*$X$1</f>
        <v>1486.42</v>
      </c>
      <c r="T458" s="607">
        <f>F458+56</f>
        <v>1472.42</v>
      </c>
      <c r="U458" s="278">
        <f t="shared" ref="U458:U460" si="1328">+T458*$X$1</f>
        <v>1472.42</v>
      </c>
      <c r="V458" s="607">
        <f>F458+49</f>
        <v>1465.42</v>
      </c>
      <c r="W458" s="278">
        <f t="shared" ref="W458:W460" si="1329">+V458*$X$1</f>
        <v>1465.42</v>
      </c>
      <c r="X458" s="652"/>
      <c r="Y458" s="732"/>
      <c r="Z458" s="732"/>
      <c r="AA458" s="653"/>
      <c r="AB458" s="189" t="s">
        <v>498</v>
      </c>
    </row>
    <row r="459" spans="1:35" ht="12.6" customHeight="1" x14ac:dyDescent="0.2">
      <c r="A459" s="101"/>
      <c r="B459" s="693" t="s">
        <v>882</v>
      </c>
      <c r="C459" s="694"/>
      <c r="D459" s="694"/>
      <c r="E459" s="694"/>
      <c r="F459" s="365">
        <f>1.882*X2</f>
        <v>2066.4359999999997</v>
      </c>
      <c r="G459" s="279">
        <f>+F459*$X$1</f>
        <v>2066.4359999999997</v>
      </c>
      <c r="H459" s="440">
        <f>F459+650</f>
        <v>2716.4359999999997</v>
      </c>
      <c r="I459" s="279">
        <f t="shared" si="1323"/>
        <v>2716.4359999999997</v>
      </c>
      <c r="J459" s="440">
        <f>F459+230</f>
        <v>2296.4359999999997</v>
      </c>
      <c r="K459" s="279">
        <f t="shared" si="1325"/>
        <v>2296.4359999999997</v>
      </c>
      <c r="L459" s="440">
        <f>F459+190</f>
        <v>2256.4359999999997</v>
      </c>
      <c r="M459" s="279">
        <f t="shared" si="1326"/>
        <v>2256.4359999999997</v>
      </c>
      <c r="N459" s="440">
        <f>F459+150</f>
        <v>2216.4359999999997</v>
      </c>
      <c r="O459" s="279">
        <f t="shared" ref="O459:O460" si="1330">+N459*$X$1</f>
        <v>2216.4359999999997</v>
      </c>
      <c r="P459" s="440">
        <f>F459+130</f>
        <v>2196.4359999999997</v>
      </c>
      <c r="Q459" s="279">
        <f t="shared" si="1327"/>
        <v>2196.4359999999997</v>
      </c>
      <c r="R459" s="440">
        <f>F459+110</f>
        <v>2176.4359999999997</v>
      </c>
      <c r="S459" s="279">
        <f t="shared" ref="S459:S460" si="1331">+R459*$X$1</f>
        <v>2176.4359999999997</v>
      </c>
      <c r="T459" s="440">
        <f>F459+90</f>
        <v>2156.4359999999997</v>
      </c>
      <c r="U459" s="279">
        <f t="shared" si="1328"/>
        <v>2156.4359999999997</v>
      </c>
      <c r="V459" s="440">
        <f>F459+70</f>
        <v>2136.4359999999997</v>
      </c>
      <c r="W459" s="279">
        <f t="shared" si="1329"/>
        <v>2136.4359999999997</v>
      </c>
      <c r="X459" s="652"/>
      <c r="Y459" s="652"/>
      <c r="Z459" s="652"/>
      <c r="AA459" s="652"/>
      <c r="AB459" s="385" t="s">
        <v>883</v>
      </c>
      <c r="AC459" s="64"/>
    </row>
    <row r="460" spans="1:35" ht="12.6" customHeight="1" x14ac:dyDescent="0.2">
      <c r="A460" s="101"/>
      <c r="B460" s="728" t="s">
        <v>639</v>
      </c>
      <c r="C460" s="729"/>
      <c r="D460" s="729"/>
      <c r="E460" s="729"/>
      <c r="F460" s="364">
        <f>4.1*X2</f>
        <v>4501.7999999999993</v>
      </c>
      <c r="G460" s="278">
        <f>+F460*$X$1</f>
        <v>4501.7999999999993</v>
      </c>
      <c r="H460" s="607">
        <f>F460+650</f>
        <v>5151.7999999999993</v>
      </c>
      <c r="I460" s="278">
        <f t="shared" si="1323"/>
        <v>5151.7999999999993</v>
      </c>
      <c r="J460" s="607">
        <f>F460+230</f>
        <v>4731.7999999999993</v>
      </c>
      <c r="K460" s="278">
        <f t="shared" si="1325"/>
        <v>4731.7999999999993</v>
      </c>
      <c r="L460" s="607">
        <f>F460+190</f>
        <v>4691.7999999999993</v>
      </c>
      <c r="M460" s="278">
        <f t="shared" si="1326"/>
        <v>4691.7999999999993</v>
      </c>
      <c r="N460" s="607">
        <f>F460+150</f>
        <v>4651.7999999999993</v>
      </c>
      <c r="O460" s="278">
        <f t="shared" si="1330"/>
        <v>4651.7999999999993</v>
      </c>
      <c r="P460" s="607">
        <f>F460+130</f>
        <v>4631.7999999999993</v>
      </c>
      <c r="Q460" s="278">
        <f t="shared" si="1327"/>
        <v>4631.7999999999993</v>
      </c>
      <c r="R460" s="607">
        <f>F460+110</f>
        <v>4611.7999999999993</v>
      </c>
      <c r="S460" s="278">
        <f t="shared" si="1331"/>
        <v>4611.7999999999993</v>
      </c>
      <c r="T460" s="607">
        <f>F460+90</f>
        <v>4591.7999999999993</v>
      </c>
      <c r="U460" s="278">
        <f t="shared" si="1328"/>
        <v>4591.7999999999993</v>
      </c>
      <c r="V460" s="607">
        <f>F460+70</f>
        <v>4571.7999999999993</v>
      </c>
      <c r="W460" s="278">
        <f t="shared" si="1329"/>
        <v>4571.7999999999993</v>
      </c>
      <c r="X460" s="652"/>
      <c r="Y460" s="652"/>
      <c r="Z460" s="652"/>
      <c r="AA460" s="652"/>
      <c r="AB460" s="385" t="s">
        <v>638</v>
      </c>
      <c r="AC460" s="64"/>
    </row>
    <row r="461" spans="1:35" ht="12.6" customHeight="1" x14ac:dyDescent="0.2">
      <c r="A461" s="101"/>
      <c r="B461" s="693" t="s">
        <v>631</v>
      </c>
      <c r="C461" s="694"/>
      <c r="D461" s="694"/>
      <c r="E461" s="694"/>
      <c r="F461" s="365">
        <f>4.836*X2</f>
        <v>5309.9279999999999</v>
      </c>
      <c r="G461" s="279">
        <f t="shared" ref="G461:G463" si="1332">+F461*$X$1</f>
        <v>5309.9279999999999</v>
      </c>
      <c r="H461" s="440">
        <f>F461+650</f>
        <v>5959.9279999999999</v>
      </c>
      <c r="I461" s="279">
        <f t="shared" ref="I461:I463" si="1333">+H461*$X$1</f>
        <v>5959.9279999999999</v>
      </c>
      <c r="J461" s="440">
        <f>F461+230</f>
        <v>5539.9279999999999</v>
      </c>
      <c r="K461" s="279">
        <f t="shared" ref="K461:K463" si="1334">+J461*$X$1</f>
        <v>5539.9279999999999</v>
      </c>
      <c r="L461" s="440">
        <f>F461+190</f>
        <v>5499.9279999999999</v>
      </c>
      <c r="M461" s="279">
        <f t="shared" ref="M461:M463" si="1335">+L461*$X$1</f>
        <v>5499.9279999999999</v>
      </c>
      <c r="N461" s="440">
        <f>F461+150</f>
        <v>5459.9279999999999</v>
      </c>
      <c r="O461" s="279">
        <f t="shared" ref="O461" si="1336">+N461*$X$1</f>
        <v>5459.9279999999999</v>
      </c>
      <c r="P461" s="440">
        <f>F461+130</f>
        <v>5439.9279999999999</v>
      </c>
      <c r="Q461" s="279">
        <f t="shared" ref="Q461:Q463" si="1337">+P461*$X$1</f>
        <v>5439.9279999999999</v>
      </c>
      <c r="R461" s="440">
        <f>F461+110</f>
        <v>5419.9279999999999</v>
      </c>
      <c r="S461" s="279">
        <f t="shared" ref="S461" si="1338">+R461*$X$1</f>
        <v>5419.9279999999999</v>
      </c>
      <c r="T461" s="440">
        <f>F461+90</f>
        <v>5399.9279999999999</v>
      </c>
      <c r="U461" s="279">
        <f t="shared" ref="U461:U463" si="1339">+T461*$X$1</f>
        <v>5399.9279999999999</v>
      </c>
      <c r="V461" s="440">
        <f>F461+70</f>
        <v>5379.9279999999999</v>
      </c>
      <c r="W461" s="279">
        <f t="shared" ref="W461:W463" si="1340">+V461*$X$1</f>
        <v>5379.9279999999999</v>
      </c>
      <c r="X461" s="652"/>
      <c r="Y461" s="652"/>
      <c r="Z461" s="652"/>
      <c r="AA461" s="652"/>
      <c r="AB461" s="385" t="s">
        <v>630</v>
      </c>
      <c r="AC461" s="64"/>
    </row>
    <row r="462" spans="1:35" ht="12.6" customHeight="1" x14ac:dyDescent="0.2">
      <c r="A462" s="101"/>
      <c r="B462" s="728" t="s">
        <v>634</v>
      </c>
      <c r="C462" s="729"/>
      <c r="D462" s="729"/>
      <c r="E462" s="729"/>
      <c r="F462" s="364">
        <f>4.07*X2</f>
        <v>4468.8600000000006</v>
      </c>
      <c r="G462" s="278">
        <f t="shared" si="1332"/>
        <v>4468.8600000000006</v>
      </c>
      <c r="H462" s="607">
        <f t="shared" ref="H462" si="1341">F462+600</f>
        <v>5068.8600000000006</v>
      </c>
      <c r="I462" s="278">
        <f t="shared" ref="I462" si="1342">+H462*$X$1</f>
        <v>5068.8600000000006</v>
      </c>
      <c r="J462" s="607">
        <f t="shared" ref="J462" si="1343">F462+200</f>
        <v>4668.8600000000006</v>
      </c>
      <c r="K462" s="278">
        <f t="shared" ref="K462" si="1344">+J462*$X$1</f>
        <v>4668.8600000000006</v>
      </c>
      <c r="L462" s="607">
        <f>F462+150</f>
        <v>4618.8600000000006</v>
      </c>
      <c r="M462" s="278">
        <f t="shared" ref="M462" si="1345">+L462*$X$1</f>
        <v>4618.8600000000006</v>
      </c>
      <c r="N462" s="607">
        <f>F462+110</f>
        <v>4578.8600000000006</v>
      </c>
      <c r="O462" s="278">
        <f>+N462*$X$1</f>
        <v>4578.8600000000006</v>
      </c>
      <c r="P462" s="607">
        <f>F462+90</f>
        <v>4558.8600000000006</v>
      </c>
      <c r="Q462" s="278">
        <f t="shared" ref="Q462" si="1346">+P462*$X$1</f>
        <v>4558.8600000000006</v>
      </c>
      <c r="R462" s="607">
        <f>F462+70</f>
        <v>4538.8600000000006</v>
      </c>
      <c r="S462" s="278">
        <f>+R462*$X$1</f>
        <v>4538.8600000000006</v>
      </c>
      <c r="T462" s="607">
        <f>F462+56</f>
        <v>4524.8600000000006</v>
      </c>
      <c r="U462" s="278">
        <f t="shared" ref="U462" si="1347">+T462*$X$1</f>
        <v>4524.8600000000006</v>
      </c>
      <c r="V462" s="607">
        <f>F462+49</f>
        <v>4517.8600000000006</v>
      </c>
      <c r="W462" s="278">
        <f t="shared" ref="W462" si="1348">+V462*$X$1</f>
        <v>4517.8600000000006</v>
      </c>
      <c r="X462" s="652"/>
      <c r="Y462" s="652"/>
      <c r="Z462" s="652"/>
      <c r="AA462" s="652"/>
      <c r="AB462" s="385" t="s">
        <v>632</v>
      </c>
      <c r="AC462" s="64"/>
    </row>
    <row r="463" spans="1:35" ht="12.6" customHeight="1" x14ac:dyDescent="0.2">
      <c r="A463" s="101"/>
      <c r="B463" s="693" t="s">
        <v>635</v>
      </c>
      <c r="C463" s="694"/>
      <c r="D463" s="694"/>
      <c r="E463" s="694"/>
      <c r="F463" s="365">
        <f>4.07*X2</f>
        <v>4468.8600000000006</v>
      </c>
      <c r="G463" s="279">
        <f t="shared" si="1332"/>
        <v>4468.8600000000006</v>
      </c>
      <c r="H463" s="440">
        <f t="shared" ref="H463" si="1349">F463+600</f>
        <v>5068.8600000000006</v>
      </c>
      <c r="I463" s="279">
        <f t="shared" si="1333"/>
        <v>5068.8600000000006</v>
      </c>
      <c r="J463" s="440">
        <f t="shared" ref="J463" si="1350">F463+200</f>
        <v>4668.8600000000006</v>
      </c>
      <c r="K463" s="279">
        <f t="shared" si="1334"/>
        <v>4668.8600000000006</v>
      </c>
      <c r="L463" s="440">
        <f>F463+150</f>
        <v>4618.8600000000006</v>
      </c>
      <c r="M463" s="279">
        <f t="shared" si="1335"/>
        <v>4618.8600000000006</v>
      </c>
      <c r="N463" s="440">
        <f>F463+110</f>
        <v>4578.8600000000006</v>
      </c>
      <c r="O463" s="279">
        <f>+N463*$X$1</f>
        <v>4578.8600000000006</v>
      </c>
      <c r="P463" s="440">
        <f>F463+90</f>
        <v>4558.8600000000006</v>
      </c>
      <c r="Q463" s="279">
        <f t="shared" si="1337"/>
        <v>4558.8600000000006</v>
      </c>
      <c r="R463" s="440">
        <f>F463+70</f>
        <v>4538.8600000000006</v>
      </c>
      <c r="S463" s="279">
        <f>+R463*$X$1</f>
        <v>4538.8600000000006</v>
      </c>
      <c r="T463" s="440">
        <f>F463+56</f>
        <v>4524.8600000000006</v>
      </c>
      <c r="U463" s="279">
        <f t="shared" si="1339"/>
        <v>4524.8600000000006</v>
      </c>
      <c r="V463" s="440">
        <f>F463+49</f>
        <v>4517.8600000000006</v>
      </c>
      <c r="W463" s="279">
        <f t="shared" si="1340"/>
        <v>4517.8600000000006</v>
      </c>
      <c r="X463" s="652"/>
      <c r="Y463" s="652"/>
      <c r="Z463" s="652"/>
      <c r="AA463" s="652"/>
      <c r="AB463" s="385" t="s">
        <v>633</v>
      </c>
      <c r="AC463" s="64"/>
    </row>
    <row r="464" spans="1:35" ht="12.6" customHeight="1" x14ac:dyDescent="0.2">
      <c r="A464" s="101"/>
      <c r="B464" s="692" t="s">
        <v>962</v>
      </c>
      <c r="C464" s="1029"/>
      <c r="D464" s="1029"/>
      <c r="E464" s="1029"/>
      <c r="F464" s="364">
        <v>1050</v>
      </c>
      <c r="G464" s="278">
        <f t="shared" ref="G464" si="1351">+F464*$X$1</f>
        <v>1050</v>
      </c>
      <c r="H464" s="607"/>
      <c r="I464" s="278"/>
      <c r="J464" s="607"/>
      <c r="K464" s="278"/>
      <c r="L464" s="607">
        <f>F464+190</f>
        <v>1240</v>
      </c>
      <c r="M464" s="278">
        <f t="shared" ref="M464:M467" si="1352">+L464*$X$1</f>
        <v>1240</v>
      </c>
      <c r="N464" s="607">
        <f>F464+150</f>
        <v>1200</v>
      </c>
      <c r="O464" s="278">
        <f t="shared" ref="O464:O467" si="1353">+N464*$X$1</f>
        <v>1200</v>
      </c>
      <c r="P464" s="607">
        <f>F464+130</f>
        <v>1180</v>
      </c>
      <c r="Q464" s="278">
        <f t="shared" ref="Q464:Q467" si="1354">+P464*$X$1</f>
        <v>1180</v>
      </c>
      <c r="R464" s="607">
        <f>F464+110</f>
        <v>1160</v>
      </c>
      <c r="S464" s="278">
        <f t="shared" ref="S464:S467" si="1355">+R464*$X$1</f>
        <v>1160</v>
      </c>
      <c r="T464" s="607">
        <f>F464+90</f>
        <v>1140</v>
      </c>
      <c r="U464" s="278">
        <f t="shared" ref="U464:U467" si="1356">+T464*$X$1</f>
        <v>1140</v>
      </c>
      <c r="V464" s="607">
        <f>F464+70</f>
        <v>1120</v>
      </c>
      <c r="W464" s="278">
        <f t="shared" ref="W464:W467" si="1357">+V464*$X$1</f>
        <v>1120</v>
      </c>
      <c r="X464" s="652"/>
      <c r="Y464" s="652"/>
      <c r="Z464" s="652"/>
      <c r="AA464" s="652"/>
      <c r="AB464" s="385" t="s">
        <v>976</v>
      </c>
      <c r="AC464" s="64"/>
    </row>
    <row r="465" spans="1:34" ht="12.6" customHeight="1" x14ac:dyDescent="0.2">
      <c r="A465" s="101"/>
      <c r="B465" s="692" t="s">
        <v>963</v>
      </c>
      <c r="C465" s="1029"/>
      <c r="D465" s="1029"/>
      <c r="E465" s="1029"/>
      <c r="F465" s="365">
        <v>1250</v>
      </c>
      <c r="G465" s="279">
        <f t="shared" ref="G465" si="1358">+F465*$X$1</f>
        <v>1250</v>
      </c>
      <c r="H465" s="440"/>
      <c r="I465" s="279"/>
      <c r="J465" s="440"/>
      <c r="K465" s="279"/>
      <c r="L465" s="440">
        <f>F465+190</f>
        <v>1440</v>
      </c>
      <c r="M465" s="279">
        <f t="shared" si="1352"/>
        <v>1440</v>
      </c>
      <c r="N465" s="440">
        <f>F465+150</f>
        <v>1400</v>
      </c>
      <c r="O465" s="279">
        <f t="shared" si="1353"/>
        <v>1400</v>
      </c>
      <c r="P465" s="440">
        <f>F465+130</f>
        <v>1380</v>
      </c>
      <c r="Q465" s="279">
        <f t="shared" si="1354"/>
        <v>1380</v>
      </c>
      <c r="R465" s="440">
        <f>F465+110</f>
        <v>1360</v>
      </c>
      <c r="S465" s="279">
        <f t="shared" si="1355"/>
        <v>1360</v>
      </c>
      <c r="T465" s="440">
        <f>F465+90</f>
        <v>1340</v>
      </c>
      <c r="U465" s="279">
        <f t="shared" si="1356"/>
        <v>1340</v>
      </c>
      <c r="V465" s="440">
        <f>F465+70</f>
        <v>1320</v>
      </c>
      <c r="W465" s="279">
        <f t="shared" si="1357"/>
        <v>1320</v>
      </c>
      <c r="X465" s="652"/>
      <c r="Y465" s="652"/>
      <c r="Z465" s="652"/>
      <c r="AA465" s="652"/>
      <c r="AB465" s="385" t="s">
        <v>977</v>
      </c>
      <c r="AC465" s="64"/>
    </row>
    <row r="466" spans="1:34" ht="12.6" customHeight="1" x14ac:dyDescent="0.2">
      <c r="A466" s="101"/>
      <c r="B466" s="692" t="s">
        <v>964</v>
      </c>
      <c r="C466" s="1029"/>
      <c r="D466" s="1029"/>
      <c r="E466" s="1029"/>
      <c r="F466" s="364">
        <v>1250</v>
      </c>
      <c r="G466" s="278">
        <f t="shared" ref="G466" si="1359">+F466*$X$1</f>
        <v>1250</v>
      </c>
      <c r="H466" s="607"/>
      <c r="I466" s="278"/>
      <c r="J466" s="607"/>
      <c r="K466" s="278"/>
      <c r="L466" s="607">
        <f>F466+190</f>
        <v>1440</v>
      </c>
      <c r="M466" s="278">
        <f t="shared" si="1352"/>
        <v>1440</v>
      </c>
      <c r="N466" s="607">
        <f>F466+150</f>
        <v>1400</v>
      </c>
      <c r="O466" s="278">
        <f t="shared" si="1353"/>
        <v>1400</v>
      </c>
      <c r="P466" s="607">
        <f>F466+130</f>
        <v>1380</v>
      </c>
      <c r="Q466" s="278">
        <f t="shared" si="1354"/>
        <v>1380</v>
      </c>
      <c r="R466" s="607">
        <f>F466+110</f>
        <v>1360</v>
      </c>
      <c r="S466" s="278">
        <f t="shared" si="1355"/>
        <v>1360</v>
      </c>
      <c r="T466" s="607">
        <f>F466+90</f>
        <v>1340</v>
      </c>
      <c r="U466" s="278">
        <f t="shared" si="1356"/>
        <v>1340</v>
      </c>
      <c r="V466" s="607">
        <f>F466+70</f>
        <v>1320</v>
      </c>
      <c r="W466" s="278">
        <f t="shared" si="1357"/>
        <v>1320</v>
      </c>
      <c r="X466" s="652"/>
      <c r="Y466" s="652"/>
      <c r="Z466" s="652"/>
      <c r="AA466" s="652"/>
      <c r="AB466" s="385" t="s">
        <v>978</v>
      </c>
      <c r="AC466" s="64"/>
    </row>
    <row r="467" spans="1:34" ht="12.6" customHeight="1" x14ac:dyDescent="0.2">
      <c r="A467" s="101"/>
      <c r="B467" s="692" t="s">
        <v>965</v>
      </c>
      <c r="C467" s="1029"/>
      <c r="D467" s="1029"/>
      <c r="E467" s="1029"/>
      <c r="F467" s="365">
        <v>1250</v>
      </c>
      <c r="G467" s="279">
        <f t="shared" ref="G467" si="1360">+F467*$X$1</f>
        <v>1250</v>
      </c>
      <c r="H467" s="440"/>
      <c r="I467" s="279"/>
      <c r="J467" s="440"/>
      <c r="K467" s="279"/>
      <c r="L467" s="440">
        <f>F467+190</f>
        <v>1440</v>
      </c>
      <c r="M467" s="279">
        <f t="shared" si="1352"/>
        <v>1440</v>
      </c>
      <c r="N467" s="440">
        <f>F467+150</f>
        <v>1400</v>
      </c>
      <c r="O467" s="279">
        <f t="shared" si="1353"/>
        <v>1400</v>
      </c>
      <c r="P467" s="440">
        <f>F467+130</f>
        <v>1380</v>
      </c>
      <c r="Q467" s="279">
        <f t="shared" si="1354"/>
        <v>1380</v>
      </c>
      <c r="R467" s="440">
        <f>F467+110</f>
        <v>1360</v>
      </c>
      <c r="S467" s="279">
        <f t="shared" si="1355"/>
        <v>1360</v>
      </c>
      <c r="T467" s="440">
        <f>F467+90</f>
        <v>1340</v>
      </c>
      <c r="U467" s="279">
        <f t="shared" si="1356"/>
        <v>1340</v>
      </c>
      <c r="V467" s="440">
        <f>F467+70</f>
        <v>1320</v>
      </c>
      <c r="W467" s="279">
        <f t="shared" si="1357"/>
        <v>1320</v>
      </c>
      <c r="X467" s="652"/>
      <c r="Y467" s="652"/>
      <c r="Z467" s="652"/>
      <c r="AA467" s="652"/>
      <c r="AB467" s="385"/>
      <c r="AC467" s="64"/>
    </row>
    <row r="468" spans="1:34" ht="12.6" customHeight="1" x14ac:dyDescent="0.2">
      <c r="A468" s="101"/>
      <c r="B468" s="728" t="s">
        <v>880</v>
      </c>
      <c r="C468" s="729"/>
      <c r="D468" s="729"/>
      <c r="E468" s="729"/>
      <c r="F468" s="364">
        <f>3.7*X2</f>
        <v>4062.6000000000004</v>
      </c>
      <c r="G468" s="278">
        <f t="shared" ref="G468" si="1361">+F468*$X$1</f>
        <v>4062.6000000000004</v>
      </c>
      <c r="H468" s="607"/>
      <c r="I468" s="278"/>
      <c r="J468" s="607">
        <f>F468+300</f>
        <v>4362.6000000000004</v>
      </c>
      <c r="K468" s="278">
        <f t="shared" ref="K468" si="1362">+J468*$X$1</f>
        <v>4362.6000000000004</v>
      </c>
      <c r="L468" s="607">
        <f>F468+240</f>
        <v>4302.6000000000004</v>
      </c>
      <c r="M468" s="278">
        <f t="shared" ref="M468" si="1363">+L468*$X$1</f>
        <v>4302.6000000000004</v>
      </c>
      <c r="N468" s="607">
        <f>F468+200</f>
        <v>4262.6000000000004</v>
      </c>
      <c r="O468" s="278">
        <f t="shared" ref="O468" si="1364">+N468*$X$1</f>
        <v>4262.6000000000004</v>
      </c>
      <c r="P468" s="607">
        <f>F468+160</f>
        <v>4222.6000000000004</v>
      </c>
      <c r="Q468" s="278">
        <f t="shared" ref="Q468" si="1365">+P468*$X$1</f>
        <v>4222.6000000000004</v>
      </c>
      <c r="R468" s="607">
        <f>F468+140</f>
        <v>4202.6000000000004</v>
      </c>
      <c r="S468" s="278">
        <f t="shared" ref="S468" si="1366">+R468*$X$1</f>
        <v>4202.6000000000004</v>
      </c>
      <c r="T468" s="607">
        <f>F468+110</f>
        <v>4172.6000000000004</v>
      </c>
      <c r="U468" s="278">
        <f t="shared" ref="U468" si="1367">+T468*$X$1</f>
        <v>4172.6000000000004</v>
      </c>
      <c r="V468" s="607">
        <f>F468+90</f>
        <v>4152.6000000000004</v>
      </c>
      <c r="W468" s="278">
        <f t="shared" ref="W468" si="1368">+V468*$X$1</f>
        <v>4152.6000000000004</v>
      </c>
      <c r="X468" s="652"/>
      <c r="Y468" s="652"/>
      <c r="Z468" s="652"/>
      <c r="AA468" s="652"/>
      <c r="AB468" s="385" t="s">
        <v>881</v>
      </c>
      <c r="AC468" s="64"/>
    </row>
    <row r="469" spans="1:34" ht="12.6" customHeight="1" x14ac:dyDescent="0.2">
      <c r="A469" s="101"/>
      <c r="B469" s="692" t="s">
        <v>899</v>
      </c>
      <c r="C469" s="1029"/>
      <c r="D469" s="1029"/>
      <c r="E469" s="1029"/>
      <c r="F469" s="365">
        <v>22</v>
      </c>
      <c r="G469" s="279">
        <f t="shared" ref="G469" si="1369">+F469*$X$1</f>
        <v>22</v>
      </c>
      <c r="H469" s="440"/>
      <c r="I469" s="279"/>
      <c r="J469" s="440"/>
      <c r="K469" s="279"/>
      <c r="L469" s="440"/>
      <c r="M469" s="279"/>
      <c r="N469" s="440"/>
      <c r="O469" s="279"/>
      <c r="P469" s="440"/>
      <c r="Q469" s="279"/>
      <c r="R469" s="440"/>
      <c r="S469" s="279"/>
      <c r="T469" s="440"/>
      <c r="U469" s="279"/>
      <c r="V469" s="440"/>
      <c r="W469" s="279"/>
      <c r="X469" s="652"/>
      <c r="Y469" s="652"/>
      <c r="Z469" s="652"/>
      <c r="AA469" s="652"/>
      <c r="AB469" s="385" t="s">
        <v>900</v>
      </c>
      <c r="AC469" s="64"/>
    </row>
    <row r="470" spans="1:34" ht="12.6" customHeight="1" x14ac:dyDescent="0.2">
      <c r="A470" s="101"/>
      <c r="B470" s="692" t="s">
        <v>898</v>
      </c>
      <c r="C470" s="1029"/>
      <c r="D470" s="1029"/>
      <c r="E470" s="1029"/>
      <c r="F470" s="364">
        <v>49</v>
      </c>
      <c r="G470" s="278">
        <f t="shared" ref="G470" si="1370">+F470*$X$1</f>
        <v>49</v>
      </c>
      <c r="H470" s="607"/>
      <c r="I470" s="278"/>
      <c r="J470" s="607"/>
      <c r="K470" s="278"/>
      <c r="L470" s="607"/>
      <c r="M470" s="278"/>
      <c r="N470" s="607"/>
      <c r="O470" s="278"/>
      <c r="P470" s="607"/>
      <c r="Q470" s="278"/>
      <c r="R470" s="607"/>
      <c r="S470" s="278"/>
      <c r="T470" s="607"/>
      <c r="U470" s="278"/>
      <c r="V470" s="607"/>
      <c r="W470" s="278"/>
      <c r="X470" s="652"/>
      <c r="Y470" s="652"/>
      <c r="Z470" s="652"/>
      <c r="AA470" s="652"/>
      <c r="AB470" s="385" t="s">
        <v>901</v>
      </c>
      <c r="AC470" s="64"/>
    </row>
    <row r="471" spans="1:34" ht="12.6" customHeight="1" x14ac:dyDescent="0.2">
      <c r="A471" s="18"/>
      <c r="B471" s="748" t="s">
        <v>332</v>
      </c>
      <c r="C471" s="772"/>
      <c r="D471" s="772"/>
      <c r="E471" s="773"/>
      <c r="F471" s="279">
        <v>1225</v>
      </c>
      <c r="G471" s="279">
        <f t="shared" ref="G471:G475" si="1371">+F471*$X$1</f>
        <v>1225</v>
      </c>
      <c r="H471" s="255"/>
      <c r="I471" s="997" t="s">
        <v>485</v>
      </c>
      <c r="J471" s="1167"/>
      <c r="K471" s="1167"/>
      <c r="L471" s="1167"/>
      <c r="M471" s="1168"/>
      <c r="N471" s="440">
        <v>1750</v>
      </c>
      <c r="O471" s="279">
        <f>+N471*$X$1</f>
        <v>1750</v>
      </c>
      <c r="P471" s="102">
        <v>1745</v>
      </c>
      <c r="Q471" s="279">
        <f t="shared" ref="Q471" si="1372">+P471*$X$1</f>
        <v>1745</v>
      </c>
      <c r="R471" s="440">
        <v>1571</v>
      </c>
      <c r="S471" s="279">
        <f>+R471*$X$1</f>
        <v>1571</v>
      </c>
      <c r="T471" s="440">
        <v>1462</v>
      </c>
      <c r="U471" s="279">
        <f>+T471*$X$1</f>
        <v>1462</v>
      </c>
      <c r="V471" s="440">
        <v>1419</v>
      </c>
      <c r="W471" s="279">
        <f t="shared" ref="W471" si="1373">+V471*$X$1</f>
        <v>1419</v>
      </c>
      <c r="X471" s="131"/>
      <c r="Y471" s="131"/>
      <c r="Z471" s="131"/>
      <c r="AA471" s="134"/>
      <c r="AB471" s="29"/>
    </row>
    <row r="472" spans="1:34" ht="12.6" customHeight="1" x14ac:dyDescent="0.2">
      <c r="A472" s="18"/>
      <c r="B472" s="733" t="s">
        <v>333</v>
      </c>
      <c r="C472" s="734"/>
      <c r="D472" s="734"/>
      <c r="E472" s="735"/>
      <c r="F472" s="278">
        <v>1225</v>
      </c>
      <c r="G472" s="278">
        <f t="shared" si="1371"/>
        <v>1225</v>
      </c>
      <c r="H472" s="255"/>
      <c r="I472" s="1169"/>
      <c r="J472" s="1170"/>
      <c r="K472" s="1170"/>
      <c r="L472" s="1170"/>
      <c r="M472" s="1171"/>
      <c r="N472" s="508">
        <v>1750</v>
      </c>
      <c r="O472" s="278">
        <f>+N472*$X$1</f>
        <v>1750</v>
      </c>
      <c r="P472" s="98">
        <v>1745</v>
      </c>
      <c r="Q472" s="278">
        <f t="shared" ref="Q472:Q474" si="1374">+P472*$X$1</f>
        <v>1745</v>
      </c>
      <c r="R472" s="508">
        <v>1571</v>
      </c>
      <c r="S472" s="278">
        <f>+R472*$X$1</f>
        <v>1571</v>
      </c>
      <c r="T472" s="508">
        <v>1462</v>
      </c>
      <c r="U472" s="278">
        <f>+T472*$X$1</f>
        <v>1462</v>
      </c>
      <c r="V472" s="508">
        <v>1419</v>
      </c>
      <c r="W472" s="278">
        <f t="shared" ref="W472:W474" si="1375">+V472*$X$1</f>
        <v>1419</v>
      </c>
      <c r="X472" s="131"/>
      <c r="Y472" s="131"/>
      <c r="Z472" s="131"/>
      <c r="AA472" s="134"/>
      <c r="AB472" s="189"/>
    </row>
    <row r="473" spans="1:34" ht="12.6" customHeight="1" x14ac:dyDescent="0.2">
      <c r="A473" s="18"/>
      <c r="B473" s="748" t="s">
        <v>334</v>
      </c>
      <c r="C473" s="772"/>
      <c r="D473" s="772"/>
      <c r="E473" s="773"/>
      <c r="F473" s="279">
        <v>1225</v>
      </c>
      <c r="G473" s="279">
        <f t="shared" si="1371"/>
        <v>1225</v>
      </c>
      <c r="H473" s="17"/>
      <c r="I473" s="1172"/>
      <c r="J473" s="1173"/>
      <c r="K473" s="1173"/>
      <c r="L473" s="1173"/>
      <c r="M473" s="1174"/>
      <c r="N473" s="440">
        <v>1750</v>
      </c>
      <c r="O473" s="279">
        <f>+N473*$X$1</f>
        <v>1750</v>
      </c>
      <c r="P473" s="102">
        <v>1745</v>
      </c>
      <c r="Q473" s="279">
        <f t="shared" si="1374"/>
        <v>1745</v>
      </c>
      <c r="R473" s="440">
        <v>1571</v>
      </c>
      <c r="S473" s="279">
        <f>+R473*$X$1</f>
        <v>1571</v>
      </c>
      <c r="T473" s="440">
        <v>1462</v>
      </c>
      <c r="U473" s="279">
        <f>+T473*$X$1</f>
        <v>1462</v>
      </c>
      <c r="V473" s="440">
        <v>1419</v>
      </c>
      <c r="W473" s="279">
        <f t="shared" si="1375"/>
        <v>1419</v>
      </c>
      <c r="X473" s="131"/>
      <c r="Y473" s="131"/>
      <c r="Z473" s="131"/>
      <c r="AA473" s="134"/>
      <c r="AB473" s="189"/>
      <c r="AG473" s="224"/>
    </row>
    <row r="474" spans="1:34" ht="12.6" customHeight="1" x14ac:dyDescent="0.2">
      <c r="A474" s="18"/>
      <c r="B474" s="1107" t="s">
        <v>253</v>
      </c>
      <c r="C474" s="1108"/>
      <c r="D474" s="1108"/>
      <c r="E474" s="1108"/>
      <c r="F474" s="364">
        <f>3.11*X2</f>
        <v>3414.7799999999997</v>
      </c>
      <c r="G474" s="278">
        <f t="shared" si="1371"/>
        <v>3414.7799999999997</v>
      </c>
      <c r="H474" s="272"/>
      <c r="I474" s="272"/>
      <c r="J474" s="70">
        <f t="shared" ref="J474" si="1376">F474+220</f>
        <v>3634.7799999999997</v>
      </c>
      <c r="K474" s="278">
        <f t="shared" ref="K474" si="1377">+J474*$X$1</f>
        <v>3634.7799999999997</v>
      </c>
      <c r="L474" s="607">
        <f t="shared" ref="L474" si="1378">F474+150</f>
        <v>3564.7799999999997</v>
      </c>
      <c r="M474" s="278">
        <f t="shared" ref="M474" si="1379">+L474*$X$1</f>
        <v>3564.7799999999997</v>
      </c>
      <c r="N474" s="607">
        <f t="shared" ref="N474" si="1380">F474+110</f>
        <v>3524.7799999999997</v>
      </c>
      <c r="O474" s="278">
        <f t="shared" ref="O474" si="1381">+N474*$X$1</f>
        <v>3524.7799999999997</v>
      </c>
      <c r="P474" s="607">
        <f t="shared" ref="P474" si="1382">F474+100</f>
        <v>3514.7799999999997</v>
      </c>
      <c r="Q474" s="278">
        <f t="shared" si="1374"/>
        <v>3514.7799999999997</v>
      </c>
      <c r="R474" s="607">
        <f t="shared" ref="R474" si="1383">F474+80</f>
        <v>3494.7799999999997</v>
      </c>
      <c r="S474" s="278">
        <f t="shared" ref="S474" si="1384">+R474*$X$1</f>
        <v>3494.7799999999997</v>
      </c>
      <c r="T474" s="607">
        <f t="shared" ref="T474" si="1385">F474+65</f>
        <v>3479.7799999999997</v>
      </c>
      <c r="U474" s="278">
        <f t="shared" ref="U474" si="1386">+T474*$X$1</f>
        <v>3479.7799999999997</v>
      </c>
      <c r="V474" s="607">
        <f t="shared" ref="V474" si="1387">F474+56</f>
        <v>3470.7799999999997</v>
      </c>
      <c r="W474" s="278">
        <f t="shared" si="1375"/>
        <v>3470.7799999999997</v>
      </c>
      <c r="X474" s="685"/>
      <c r="Y474" s="685"/>
      <c r="Z474" s="685"/>
      <c r="AA474" s="686"/>
      <c r="AB474" s="189" t="s">
        <v>254</v>
      </c>
    </row>
    <row r="475" spans="1:34" ht="12.6" customHeight="1" x14ac:dyDescent="0.2">
      <c r="A475" s="18"/>
      <c r="B475" s="672" t="s">
        <v>986</v>
      </c>
      <c r="C475" s="673"/>
      <c r="D475" s="673"/>
      <c r="E475" s="673"/>
      <c r="F475" s="365">
        <f>0.8*X2</f>
        <v>878.40000000000009</v>
      </c>
      <c r="G475" s="279">
        <f t="shared" si="1371"/>
        <v>878.40000000000009</v>
      </c>
      <c r="H475" s="271"/>
      <c r="I475" s="271"/>
      <c r="J475" s="87">
        <f t="shared" ref="J475" si="1388">F475+220</f>
        <v>1098.4000000000001</v>
      </c>
      <c r="K475" s="279">
        <f t="shared" ref="K475" si="1389">+J475*$X$1</f>
        <v>1098.4000000000001</v>
      </c>
      <c r="L475" s="440">
        <f t="shared" ref="L475" si="1390">F475+150</f>
        <v>1028.4000000000001</v>
      </c>
      <c r="M475" s="279">
        <f t="shared" ref="M475" si="1391">+L475*$X$1</f>
        <v>1028.4000000000001</v>
      </c>
      <c r="N475" s="440">
        <f t="shared" ref="N475" si="1392">F475+110</f>
        <v>988.40000000000009</v>
      </c>
      <c r="O475" s="279">
        <f t="shared" ref="O475" si="1393">+N475*$X$1</f>
        <v>988.40000000000009</v>
      </c>
      <c r="P475" s="440">
        <f t="shared" ref="P475" si="1394">F475+100</f>
        <v>978.40000000000009</v>
      </c>
      <c r="Q475" s="279">
        <f t="shared" ref="Q475" si="1395">+P475*$X$1</f>
        <v>978.40000000000009</v>
      </c>
      <c r="R475" s="440">
        <f t="shared" ref="R475" si="1396">F475+80</f>
        <v>958.40000000000009</v>
      </c>
      <c r="S475" s="279">
        <f t="shared" ref="S475" si="1397">+R475*$X$1</f>
        <v>958.40000000000009</v>
      </c>
      <c r="T475" s="440">
        <f t="shared" ref="T475" si="1398">F475+65</f>
        <v>943.40000000000009</v>
      </c>
      <c r="U475" s="279">
        <f t="shared" ref="U475" si="1399">+T475*$X$1</f>
        <v>943.40000000000009</v>
      </c>
      <c r="V475" s="440">
        <f t="shared" ref="V475" si="1400">F475+56</f>
        <v>934.40000000000009</v>
      </c>
      <c r="W475" s="279">
        <f t="shared" ref="W475" si="1401">+V475*$X$1</f>
        <v>934.40000000000009</v>
      </c>
      <c r="X475" s="685"/>
      <c r="Y475" s="685"/>
      <c r="Z475" s="685"/>
      <c r="AA475" s="686"/>
      <c r="AB475" s="189" t="s">
        <v>987</v>
      </c>
    </row>
    <row r="476" spans="1:34" ht="12.6" customHeight="1" x14ac:dyDescent="0.2">
      <c r="A476" s="18"/>
      <c r="B476" s="542"/>
      <c r="C476" s="543"/>
      <c r="D476" s="543"/>
      <c r="E476" s="543"/>
      <c r="F476" s="409"/>
      <c r="G476" s="323"/>
      <c r="H476" s="114"/>
      <c r="I476" s="323"/>
      <c r="J476" s="114"/>
      <c r="K476" s="323"/>
      <c r="L476" s="114"/>
      <c r="M476" s="323"/>
      <c r="N476" s="114"/>
      <c r="O476" s="323"/>
      <c r="P476" s="114"/>
      <c r="Q476" s="323"/>
      <c r="R476" s="114"/>
      <c r="S476" s="323"/>
      <c r="T476" s="114"/>
      <c r="U476" s="323"/>
      <c r="V476" s="114"/>
      <c r="W476" s="323"/>
      <c r="X476" s="563"/>
      <c r="Y476" s="74"/>
      <c r="Z476" s="74"/>
      <c r="AA476" s="74"/>
      <c r="AB476" s="562"/>
    </row>
    <row r="477" spans="1:34" ht="12.6" customHeight="1" x14ac:dyDescent="0.2">
      <c r="A477" s="18"/>
      <c r="B477" s="542"/>
      <c r="C477" s="543"/>
      <c r="D477" s="543"/>
      <c r="E477" s="543"/>
      <c r="F477" s="409"/>
      <c r="G477" s="323"/>
      <c r="H477" s="114"/>
      <c r="I477" s="323"/>
      <c r="J477" s="114"/>
      <c r="K477" s="323"/>
      <c r="L477" s="114"/>
      <c r="M477" s="323"/>
      <c r="N477" s="114"/>
      <c r="O477" s="323"/>
      <c r="P477" s="114"/>
      <c r="Q477" s="323"/>
      <c r="R477" s="114"/>
      <c r="S477" s="323"/>
      <c r="T477" s="114"/>
      <c r="U477" s="323"/>
      <c r="V477" s="114"/>
      <c r="W477" s="323"/>
      <c r="X477" s="563"/>
      <c r="Y477" s="74"/>
      <c r="Z477" s="74"/>
      <c r="AA477" s="74"/>
      <c r="AB477" s="562"/>
    </row>
    <row r="478" spans="1:34" ht="12.6" customHeight="1" x14ac:dyDescent="0.2">
      <c r="A478" s="18"/>
      <c r="B478" s="542"/>
      <c r="C478" s="543"/>
      <c r="D478" s="543"/>
      <c r="E478" s="543"/>
      <c r="F478" s="409"/>
      <c r="G478" s="323"/>
      <c r="H478" s="114"/>
      <c r="I478" s="323"/>
      <c r="J478" s="114"/>
      <c r="K478" s="323"/>
      <c r="L478" s="114"/>
      <c r="M478" s="323"/>
      <c r="N478" s="114"/>
      <c r="O478" s="323"/>
      <c r="P478" s="114"/>
      <c r="Q478" s="323"/>
      <c r="R478" s="114"/>
      <c r="S478" s="323"/>
      <c r="T478" s="114"/>
      <c r="U478" s="323"/>
      <c r="V478" s="114"/>
      <c r="W478" s="323"/>
      <c r="X478" s="563"/>
      <c r="Y478" s="74"/>
      <c r="Z478" s="74"/>
      <c r="AA478" s="74"/>
      <c r="AB478" s="562"/>
    </row>
    <row r="479" spans="1:34" ht="15.75" customHeight="1" x14ac:dyDescent="0.2">
      <c r="A479" s="18"/>
      <c r="B479" s="654" t="s">
        <v>11</v>
      </c>
      <c r="C479" s="925" t="s">
        <v>12</v>
      </c>
      <c r="D479" s="926"/>
      <c r="E479" s="926"/>
      <c r="F479" s="764" t="s">
        <v>13</v>
      </c>
      <c r="G479" s="764" t="s">
        <v>13</v>
      </c>
      <c r="H479" s="657" t="s">
        <v>790</v>
      </c>
      <c r="I479" s="657"/>
      <c r="J479" s="658"/>
      <c r="K479" s="658"/>
      <c r="L479" s="658"/>
      <c r="M479" s="658"/>
      <c r="N479" s="658"/>
      <c r="O479" s="658"/>
      <c r="P479" s="658"/>
      <c r="Q479" s="658"/>
      <c r="R479" s="658"/>
      <c r="S479" s="658"/>
      <c r="T479" s="658"/>
      <c r="U479" s="658"/>
      <c r="V479" s="658"/>
      <c r="W479" s="658"/>
      <c r="X479" s="707" t="s">
        <v>14</v>
      </c>
      <c r="Y479" s="707"/>
      <c r="Z479" s="707"/>
      <c r="AA479" s="707"/>
      <c r="AB479" s="713" t="s">
        <v>15</v>
      </c>
      <c r="AE479" s="63"/>
      <c r="AF479" s="674" t="s">
        <v>3</v>
      </c>
      <c r="AG479" s="675"/>
      <c r="AH479" s="675"/>
    </row>
    <row r="480" spans="1:34" ht="12" customHeight="1" x14ac:dyDescent="0.2">
      <c r="A480" s="18"/>
      <c r="B480" s="654"/>
      <c r="C480" s="926"/>
      <c r="D480" s="926"/>
      <c r="E480" s="926"/>
      <c r="F480" s="765"/>
      <c r="G480" s="765"/>
      <c r="H480" s="459"/>
      <c r="I480" s="451" t="s">
        <v>285</v>
      </c>
      <c r="J480" s="453"/>
      <c r="K480" s="451" t="s">
        <v>17</v>
      </c>
      <c r="L480" s="454"/>
      <c r="M480" s="454" t="s">
        <v>18</v>
      </c>
      <c r="N480" s="454"/>
      <c r="O480" s="451" t="s">
        <v>19</v>
      </c>
      <c r="P480" s="454"/>
      <c r="Q480" s="454" t="s">
        <v>286</v>
      </c>
      <c r="R480" s="454"/>
      <c r="S480" s="454" t="s">
        <v>20</v>
      </c>
      <c r="T480" s="454"/>
      <c r="U480" s="454" t="s">
        <v>21</v>
      </c>
      <c r="V480" s="454"/>
      <c r="W480" s="454" t="s">
        <v>22</v>
      </c>
      <c r="X480" s="707"/>
      <c r="Y480" s="707"/>
      <c r="Z480" s="707"/>
      <c r="AA480" s="707"/>
      <c r="AB480" s="713"/>
    </row>
    <row r="481" spans="1:31" ht="12.6" customHeight="1" x14ac:dyDescent="0.2">
      <c r="A481" s="18"/>
      <c r="B481" s="672" t="s">
        <v>384</v>
      </c>
      <c r="C481" s="673"/>
      <c r="D481" s="673"/>
      <c r="E481" s="673"/>
      <c r="F481" s="365">
        <f>0.98*X2</f>
        <v>1076.04</v>
      </c>
      <c r="G481" s="279">
        <f t="shared" ref="G481" si="1402">+F481*$X$1</f>
        <v>1076.04</v>
      </c>
      <c r="H481" s="271"/>
      <c r="I481" s="271"/>
      <c r="J481" s="87">
        <f t="shared" ref="J481" si="1403">F481+220</f>
        <v>1296.04</v>
      </c>
      <c r="K481" s="279">
        <f t="shared" ref="K481" si="1404">+J481*$X$1</f>
        <v>1296.04</v>
      </c>
      <c r="L481" s="440">
        <f t="shared" ref="L481" si="1405">F481+150</f>
        <v>1226.04</v>
      </c>
      <c r="M481" s="279">
        <f t="shared" ref="M481" si="1406">+L481*$X$1</f>
        <v>1226.04</v>
      </c>
      <c r="N481" s="440">
        <f t="shared" ref="N481" si="1407">F481+110</f>
        <v>1186.04</v>
      </c>
      <c r="O481" s="279">
        <f t="shared" ref="O481" si="1408">+N481*$X$1</f>
        <v>1186.04</v>
      </c>
      <c r="P481" s="440">
        <f t="shared" ref="P481" si="1409">F481+100</f>
        <v>1176.04</v>
      </c>
      <c r="Q481" s="279">
        <f t="shared" ref="Q481" si="1410">+P481*$X$1</f>
        <v>1176.04</v>
      </c>
      <c r="R481" s="440">
        <f t="shared" ref="R481" si="1411">F481+80</f>
        <v>1156.04</v>
      </c>
      <c r="S481" s="279">
        <f t="shared" ref="S481" si="1412">+R481*$X$1</f>
        <v>1156.04</v>
      </c>
      <c r="T481" s="440">
        <f t="shared" ref="T481" si="1413">F481+65</f>
        <v>1141.04</v>
      </c>
      <c r="U481" s="279">
        <f t="shared" ref="U481" si="1414">+T481*$X$1</f>
        <v>1141.04</v>
      </c>
      <c r="V481" s="440">
        <f t="shared" ref="V481" si="1415">F481+56</f>
        <v>1132.04</v>
      </c>
      <c r="W481" s="279">
        <f t="shared" ref="W481" si="1416">+V481*$X$1</f>
        <v>1132.04</v>
      </c>
      <c r="X481" s="685"/>
      <c r="Y481" s="685"/>
      <c r="Z481" s="685"/>
      <c r="AA481" s="686"/>
      <c r="AB481" s="189" t="s">
        <v>415</v>
      </c>
    </row>
    <row r="482" spans="1:31" s="64" customFormat="1" ht="12.6" customHeight="1" x14ac:dyDescent="0.25">
      <c r="A482" s="95"/>
      <c r="B482" s="695" t="s">
        <v>330</v>
      </c>
      <c r="C482" s="1013"/>
      <c r="D482" s="1013"/>
      <c r="E482" s="1013"/>
      <c r="F482" s="278">
        <v>635</v>
      </c>
      <c r="G482" s="278">
        <f t="shared" ref="G482:G487" si="1417">+F482*$X$1</f>
        <v>635</v>
      </c>
      <c r="H482" s="270"/>
      <c r="I482" s="997" t="s">
        <v>481</v>
      </c>
      <c r="J482" s="998"/>
      <c r="K482" s="998"/>
      <c r="L482" s="999"/>
      <c r="M482" s="1000"/>
      <c r="N482" s="508">
        <v>1243</v>
      </c>
      <c r="O482" s="278">
        <f t="shared" ref="O482:O487" si="1418">+N482*$X$1</f>
        <v>1243</v>
      </c>
      <c r="P482" s="285">
        <v>1238</v>
      </c>
      <c r="Q482" s="278">
        <f t="shared" ref="Q482:Q487" si="1419">+P482*$X$1</f>
        <v>1238</v>
      </c>
      <c r="R482" s="508">
        <v>1143</v>
      </c>
      <c r="S482" s="278">
        <f t="shared" ref="S482:S487" si="1420">+R482*$X$1</f>
        <v>1143</v>
      </c>
      <c r="T482" s="508">
        <v>1039</v>
      </c>
      <c r="U482" s="278">
        <f t="shared" ref="U482:U487" si="1421">+T482*$X$1</f>
        <v>1039</v>
      </c>
      <c r="V482" s="508">
        <v>989</v>
      </c>
      <c r="W482" s="278">
        <f t="shared" ref="W482:W487" si="1422">+V482*$X$1</f>
        <v>989</v>
      </c>
      <c r="X482" s="145"/>
      <c r="Y482" s="145"/>
      <c r="Z482" s="145"/>
      <c r="AA482" s="146"/>
      <c r="AB482" s="402" t="s">
        <v>255</v>
      </c>
    </row>
    <row r="483" spans="1:31" s="64" customFormat="1" ht="12.6" customHeight="1" x14ac:dyDescent="0.25">
      <c r="A483" s="95"/>
      <c r="B483" s="672" t="s">
        <v>331</v>
      </c>
      <c r="C483" s="673"/>
      <c r="D483" s="673"/>
      <c r="E483" s="673"/>
      <c r="F483" s="279">
        <v>635</v>
      </c>
      <c r="G483" s="279">
        <f t="shared" si="1417"/>
        <v>635</v>
      </c>
      <c r="H483" s="275"/>
      <c r="I483" s="1001"/>
      <c r="J483" s="1002"/>
      <c r="K483" s="1002"/>
      <c r="L483" s="1003"/>
      <c r="M483" s="1004"/>
      <c r="N483" s="440">
        <v>1562</v>
      </c>
      <c r="O483" s="279">
        <f t="shared" si="1418"/>
        <v>1562</v>
      </c>
      <c r="P483" s="284">
        <v>1557</v>
      </c>
      <c r="Q483" s="279">
        <f t="shared" si="1419"/>
        <v>1557</v>
      </c>
      <c r="R483" s="440">
        <v>1471</v>
      </c>
      <c r="S483" s="279">
        <f t="shared" si="1420"/>
        <v>1471</v>
      </c>
      <c r="T483" s="440">
        <v>1416</v>
      </c>
      <c r="U483" s="279">
        <f t="shared" si="1421"/>
        <v>1416</v>
      </c>
      <c r="V483" s="440">
        <v>1347</v>
      </c>
      <c r="W483" s="279">
        <f t="shared" si="1422"/>
        <v>1347</v>
      </c>
      <c r="X483" s="167"/>
      <c r="Y483" s="131"/>
      <c r="Z483" s="131"/>
      <c r="AA483" s="134"/>
      <c r="AB483" s="403"/>
    </row>
    <row r="484" spans="1:31" s="64" customFormat="1" ht="12.6" customHeight="1" x14ac:dyDescent="0.25">
      <c r="A484" s="95"/>
      <c r="B484" s="690" t="s">
        <v>346</v>
      </c>
      <c r="C484" s="691"/>
      <c r="D484" s="691"/>
      <c r="E484" s="691"/>
      <c r="F484" s="278">
        <v>635</v>
      </c>
      <c r="G484" s="278">
        <f t="shared" si="1417"/>
        <v>635</v>
      </c>
      <c r="H484" s="269"/>
      <c r="I484" s="1001"/>
      <c r="J484" s="1002"/>
      <c r="K484" s="1002"/>
      <c r="L484" s="1003"/>
      <c r="M484" s="1004"/>
      <c r="N484" s="508">
        <v>1243</v>
      </c>
      <c r="O484" s="278">
        <f t="shared" ref="O484:O485" si="1423">+N484*$X$1</f>
        <v>1243</v>
      </c>
      <c r="P484" s="285">
        <v>1238</v>
      </c>
      <c r="Q484" s="278">
        <f t="shared" ref="Q484:Q485" si="1424">+P484*$X$1</f>
        <v>1238</v>
      </c>
      <c r="R484" s="508">
        <v>1143</v>
      </c>
      <c r="S484" s="278">
        <f t="shared" ref="S484:S485" si="1425">+R484*$X$1</f>
        <v>1143</v>
      </c>
      <c r="T484" s="508">
        <v>1039</v>
      </c>
      <c r="U484" s="278">
        <f t="shared" ref="U484:U485" si="1426">+T484*$X$1</f>
        <v>1039</v>
      </c>
      <c r="V484" s="508">
        <v>989</v>
      </c>
      <c r="W484" s="278">
        <f t="shared" ref="W484:W485" si="1427">+V484*$X$1</f>
        <v>989</v>
      </c>
      <c r="X484" s="131"/>
      <c r="Y484" s="131"/>
      <c r="Z484" s="131"/>
      <c r="AA484" s="134"/>
      <c r="AB484" s="402" t="s">
        <v>256</v>
      </c>
    </row>
    <row r="485" spans="1:31" s="64" customFormat="1" ht="12" customHeight="1" x14ac:dyDescent="0.25">
      <c r="A485" s="95"/>
      <c r="B485" s="672" t="s">
        <v>347</v>
      </c>
      <c r="C485" s="673"/>
      <c r="D485" s="673"/>
      <c r="E485" s="673"/>
      <c r="F485" s="279">
        <v>635</v>
      </c>
      <c r="G485" s="279">
        <f t="shared" si="1417"/>
        <v>635</v>
      </c>
      <c r="H485" s="275"/>
      <c r="I485" s="1001"/>
      <c r="J485" s="1002"/>
      <c r="K485" s="1002"/>
      <c r="L485" s="1003"/>
      <c r="M485" s="1004"/>
      <c r="N485" s="440">
        <v>1562</v>
      </c>
      <c r="O485" s="279">
        <f t="shared" si="1423"/>
        <v>1562</v>
      </c>
      <c r="P485" s="284">
        <v>1557</v>
      </c>
      <c r="Q485" s="279">
        <f t="shared" si="1424"/>
        <v>1557</v>
      </c>
      <c r="R485" s="440">
        <v>1471</v>
      </c>
      <c r="S485" s="279">
        <f t="shared" si="1425"/>
        <v>1471</v>
      </c>
      <c r="T485" s="440">
        <v>1416</v>
      </c>
      <c r="U485" s="279">
        <f t="shared" si="1426"/>
        <v>1416</v>
      </c>
      <c r="V485" s="440">
        <v>1347</v>
      </c>
      <c r="W485" s="279">
        <f t="shared" si="1427"/>
        <v>1347</v>
      </c>
      <c r="X485" s="145"/>
      <c r="Y485" s="145"/>
      <c r="Z485" s="131"/>
      <c r="AA485" s="134"/>
      <c r="AB485" s="403"/>
    </row>
    <row r="486" spans="1:31" s="64" customFormat="1" ht="12.6" customHeight="1" x14ac:dyDescent="0.25">
      <c r="A486" s="95"/>
      <c r="B486" s="690" t="s">
        <v>257</v>
      </c>
      <c r="C486" s="691"/>
      <c r="D486" s="691"/>
      <c r="E486" s="691"/>
      <c r="F486" s="278">
        <v>635</v>
      </c>
      <c r="G486" s="278">
        <f t="shared" si="1417"/>
        <v>635</v>
      </c>
      <c r="H486" s="269"/>
      <c r="I486" s="1005"/>
      <c r="J486" s="1006"/>
      <c r="K486" s="1006"/>
      <c r="L486" s="1003"/>
      <c r="M486" s="1004"/>
      <c r="N486" s="508">
        <v>1407</v>
      </c>
      <c r="O486" s="278">
        <f t="shared" ref="O486" si="1428">+N486*$X$1</f>
        <v>1407</v>
      </c>
      <c r="P486" s="285">
        <v>1403</v>
      </c>
      <c r="Q486" s="278">
        <f t="shared" ref="Q486" si="1429">+P486*$X$1</f>
        <v>1403</v>
      </c>
      <c r="R486" s="508">
        <v>1254</v>
      </c>
      <c r="S486" s="278">
        <f t="shared" ref="S486" si="1430">+R486*$X$1</f>
        <v>1254</v>
      </c>
      <c r="T486" s="508">
        <v>1159</v>
      </c>
      <c r="U486" s="278">
        <f t="shared" ref="U486" si="1431">+T486*$X$1</f>
        <v>1159</v>
      </c>
      <c r="V486" s="508">
        <v>1095</v>
      </c>
      <c r="W486" s="278">
        <f t="shared" ref="W486" si="1432">+V486*$X$1</f>
        <v>1095</v>
      </c>
      <c r="X486" s="131"/>
      <c r="Y486" s="131"/>
      <c r="Z486" s="131"/>
      <c r="AA486" s="134"/>
      <c r="AB486" s="402" t="s">
        <v>258</v>
      </c>
      <c r="AE486" s="236"/>
    </row>
    <row r="487" spans="1:31" s="64" customFormat="1" ht="12.6" customHeight="1" x14ac:dyDescent="0.25">
      <c r="A487" s="95"/>
      <c r="B487" s="672" t="s">
        <v>259</v>
      </c>
      <c r="C487" s="673"/>
      <c r="D487" s="673"/>
      <c r="E487" s="673"/>
      <c r="F487" s="279">
        <v>635</v>
      </c>
      <c r="G487" s="279">
        <f t="shared" si="1417"/>
        <v>635</v>
      </c>
      <c r="H487" s="275"/>
      <c r="I487" s="1007"/>
      <c r="J487" s="1008"/>
      <c r="K487" s="1008"/>
      <c r="L487" s="1008"/>
      <c r="M487" s="1009"/>
      <c r="N487" s="440">
        <v>1710</v>
      </c>
      <c r="O487" s="279">
        <f t="shared" si="1418"/>
        <v>1710</v>
      </c>
      <c r="P487" s="284">
        <v>1706</v>
      </c>
      <c r="Q487" s="279">
        <f t="shared" si="1419"/>
        <v>1706</v>
      </c>
      <c r="R487" s="440">
        <v>1616</v>
      </c>
      <c r="S487" s="279">
        <f t="shared" si="1420"/>
        <v>1616</v>
      </c>
      <c r="T487" s="440">
        <v>1568</v>
      </c>
      <c r="U487" s="279">
        <f t="shared" si="1421"/>
        <v>1568</v>
      </c>
      <c r="V487" s="440">
        <v>1501</v>
      </c>
      <c r="W487" s="279">
        <f t="shared" si="1422"/>
        <v>1501</v>
      </c>
      <c r="X487" s="131"/>
      <c r="Y487" s="131"/>
      <c r="Z487" s="131"/>
      <c r="AA487" s="134"/>
      <c r="AB487" s="402" t="s">
        <v>260</v>
      </c>
    </row>
    <row r="488" spans="1:31" ht="12.6" customHeight="1" x14ac:dyDescent="0.2">
      <c r="A488" s="18"/>
      <c r="B488" s="733" t="s">
        <v>261</v>
      </c>
      <c r="C488" s="734"/>
      <c r="D488" s="734"/>
      <c r="E488" s="735"/>
      <c r="F488" s="364">
        <f>2.98*X2</f>
        <v>3272.04</v>
      </c>
      <c r="G488" s="278">
        <f t="shared" ref="G488" si="1433">+F488*$X$1</f>
        <v>3272.04</v>
      </c>
      <c r="H488" s="607">
        <f t="shared" ref="H488:H489" si="1434">F488+600</f>
        <v>3872.04</v>
      </c>
      <c r="I488" s="278">
        <f t="shared" ref="I488:I489" si="1435">+H488*$X$1</f>
        <v>3872.04</v>
      </c>
      <c r="J488" s="607">
        <f t="shared" ref="J488:J489" si="1436">F488+200</f>
        <v>3472.04</v>
      </c>
      <c r="K488" s="278">
        <f t="shared" ref="K488:K489" si="1437">+J488*$X$1</f>
        <v>3472.04</v>
      </c>
      <c r="L488" s="607">
        <f>F488+150</f>
        <v>3422.04</v>
      </c>
      <c r="M488" s="278">
        <f t="shared" ref="M488:M489" si="1438">+L488*$X$1</f>
        <v>3422.04</v>
      </c>
      <c r="N488" s="607">
        <f>F488+110</f>
        <v>3382.04</v>
      </c>
      <c r="O488" s="278">
        <f>+N488*$X$1</f>
        <v>3382.04</v>
      </c>
      <c r="P488" s="607">
        <f>F488+90</f>
        <v>3362.04</v>
      </c>
      <c r="Q488" s="278">
        <f t="shared" ref="Q488" si="1439">+P488*$X$1</f>
        <v>3362.04</v>
      </c>
      <c r="R488" s="607">
        <f>F488+70</f>
        <v>3342.04</v>
      </c>
      <c r="S488" s="278">
        <f>+R488*$X$1</f>
        <v>3342.04</v>
      </c>
      <c r="T488" s="607">
        <f>F488+56</f>
        <v>3328.04</v>
      </c>
      <c r="U488" s="278">
        <f t="shared" ref="U488" si="1440">+T488*$X$1</f>
        <v>3328.04</v>
      </c>
      <c r="V488" s="607">
        <f>F488+49</f>
        <v>3321.04</v>
      </c>
      <c r="W488" s="278">
        <f t="shared" ref="W488" si="1441">+V488*$X$1</f>
        <v>3321.04</v>
      </c>
      <c r="X488" s="652"/>
      <c r="Y488" s="652"/>
      <c r="Z488" s="652"/>
      <c r="AA488" s="653"/>
      <c r="AB488" s="189" t="s">
        <v>262</v>
      </c>
    </row>
    <row r="489" spans="1:31" ht="12.6" customHeight="1" x14ac:dyDescent="0.2">
      <c r="A489" s="18"/>
      <c r="B489" s="748" t="s">
        <v>263</v>
      </c>
      <c r="C489" s="772"/>
      <c r="D489" s="772"/>
      <c r="E489" s="773"/>
      <c r="F489" s="365">
        <f>2.26*X2</f>
        <v>2481.4799999999996</v>
      </c>
      <c r="G489" s="279">
        <f>+F489*$X$1</f>
        <v>2481.4799999999996</v>
      </c>
      <c r="H489" s="440">
        <f t="shared" si="1434"/>
        <v>3081.4799999999996</v>
      </c>
      <c r="I489" s="279">
        <f t="shared" si="1435"/>
        <v>3081.4799999999996</v>
      </c>
      <c r="J489" s="440">
        <f t="shared" si="1436"/>
        <v>2681.4799999999996</v>
      </c>
      <c r="K489" s="279">
        <f t="shared" si="1437"/>
        <v>2681.4799999999996</v>
      </c>
      <c r="L489" s="440">
        <f>F489+150</f>
        <v>2631.4799999999996</v>
      </c>
      <c r="M489" s="279">
        <f t="shared" si="1438"/>
        <v>2631.4799999999996</v>
      </c>
      <c r="N489" s="440"/>
      <c r="O489" s="279"/>
      <c r="P489" s="440"/>
      <c r="Q489" s="279"/>
      <c r="R489" s="440"/>
      <c r="S489" s="279"/>
      <c r="T489" s="440"/>
      <c r="U489" s="279"/>
      <c r="V489" s="440"/>
      <c r="W489" s="279"/>
      <c r="X489" s="652"/>
      <c r="Y489" s="652"/>
      <c r="Z489" s="652"/>
      <c r="AA489" s="653"/>
      <c r="AB489" s="189" t="s">
        <v>408</v>
      </c>
    </row>
    <row r="490" spans="1:31" ht="12.6" customHeight="1" x14ac:dyDescent="0.2">
      <c r="A490" s="18"/>
      <c r="B490" s="733" t="s">
        <v>761</v>
      </c>
      <c r="C490" s="734"/>
      <c r="D490" s="734"/>
      <c r="E490" s="735"/>
      <c r="F490" s="319">
        <v>3630</v>
      </c>
      <c r="G490" s="278">
        <f t="shared" ref="G490" si="1442">+F490*$X$1</f>
        <v>3630</v>
      </c>
      <c r="H490" s="607"/>
      <c r="I490" s="278"/>
      <c r="J490" s="607">
        <f t="shared" ref="J490" si="1443">F490+200</f>
        <v>3830</v>
      </c>
      <c r="K490" s="278">
        <f t="shared" ref="K490" si="1444">+J490*$X$1</f>
        <v>3830</v>
      </c>
      <c r="L490" s="607">
        <f>F490+150</f>
        <v>3780</v>
      </c>
      <c r="M490" s="278">
        <f t="shared" ref="M490" si="1445">+L490*$X$1</f>
        <v>3780</v>
      </c>
      <c r="N490" s="607">
        <f>F490+110</f>
        <v>3740</v>
      </c>
      <c r="O490" s="278">
        <f t="shared" ref="O490:O499" si="1446">+N490*$X$1</f>
        <v>3740</v>
      </c>
      <c r="P490" s="607">
        <f>F490+90</f>
        <v>3720</v>
      </c>
      <c r="Q490" s="278">
        <f t="shared" ref="Q490" si="1447">+P490*$X$1</f>
        <v>3720</v>
      </c>
      <c r="R490" s="607">
        <f>F490+70</f>
        <v>3700</v>
      </c>
      <c r="S490" s="278">
        <f t="shared" ref="S490:S499" si="1448">+R490*$X$1</f>
        <v>3700</v>
      </c>
      <c r="T490" s="607">
        <f>F490+56</f>
        <v>3686</v>
      </c>
      <c r="U490" s="278">
        <f t="shared" ref="U490" si="1449">+T490*$X$1</f>
        <v>3686</v>
      </c>
      <c r="V490" s="607">
        <f>F490+49</f>
        <v>3679</v>
      </c>
      <c r="W490" s="278">
        <f t="shared" ref="W490" si="1450">+V490*$X$1</f>
        <v>3679</v>
      </c>
      <c r="X490" s="652"/>
      <c r="Y490" s="652"/>
      <c r="Z490" s="652"/>
      <c r="AA490" s="653"/>
      <c r="AB490" s="189" t="s">
        <v>760</v>
      </c>
    </row>
    <row r="491" spans="1:31" ht="12.6" customHeight="1" x14ac:dyDescent="0.2">
      <c r="A491" s="18"/>
      <c r="B491" s="748" t="s">
        <v>372</v>
      </c>
      <c r="C491" s="772"/>
      <c r="D491" s="772"/>
      <c r="E491" s="773"/>
      <c r="F491" s="365">
        <f>1.2*X2</f>
        <v>1317.6</v>
      </c>
      <c r="G491" s="279">
        <f t="shared" ref="G491:G492" si="1451">+F491*$X$1</f>
        <v>1317.6</v>
      </c>
      <c r="H491" s="440">
        <f t="shared" ref="H491:H492" si="1452">F491+600</f>
        <v>1917.6</v>
      </c>
      <c r="I491" s="279">
        <f t="shared" ref="I491:I492" si="1453">+H491*$X$1</f>
        <v>1917.6</v>
      </c>
      <c r="J491" s="440">
        <f t="shared" ref="J491:J492" si="1454">F491+200</f>
        <v>1517.6</v>
      </c>
      <c r="K491" s="279">
        <f t="shared" ref="K491:K492" si="1455">+J491*$X$1</f>
        <v>1517.6</v>
      </c>
      <c r="L491" s="440">
        <f>F491+150</f>
        <v>1467.6</v>
      </c>
      <c r="M491" s="279">
        <f t="shared" ref="M491:M492" si="1456">+L491*$X$1</f>
        <v>1467.6</v>
      </c>
      <c r="N491" s="440">
        <f>F491+110</f>
        <v>1427.6</v>
      </c>
      <c r="O491" s="279">
        <f t="shared" si="1446"/>
        <v>1427.6</v>
      </c>
      <c r="P491" s="440">
        <f>F491+90</f>
        <v>1407.6</v>
      </c>
      <c r="Q491" s="279">
        <f t="shared" ref="Q491:Q492" si="1457">+P491*$X$1</f>
        <v>1407.6</v>
      </c>
      <c r="R491" s="440">
        <f>F491+70</f>
        <v>1387.6</v>
      </c>
      <c r="S491" s="279">
        <f t="shared" si="1448"/>
        <v>1387.6</v>
      </c>
      <c r="T491" s="440">
        <f>F491+56</f>
        <v>1373.6</v>
      </c>
      <c r="U491" s="279">
        <f t="shared" ref="U491:U492" si="1458">+T491*$X$1</f>
        <v>1373.6</v>
      </c>
      <c r="V491" s="440">
        <f>F491+49</f>
        <v>1366.6</v>
      </c>
      <c r="W491" s="279">
        <f t="shared" ref="W491:W492" si="1459">+V491*$X$1</f>
        <v>1366.6</v>
      </c>
      <c r="X491" s="652"/>
      <c r="Y491" s="732"/>
      <c r="Z491" s="732"/>
      <c r="AA491" s="653"/>
      <c r="AB491" s="189" t="s">
        <v>409</v>
      </c>
    </row>
    <row r="492" spans="1:31" ht="12.6" customHeight="1" x14ac:dyDescent="0.2">
      <c r="A492" s="18"/>
      <c r="B492" s="733" t="s">
        <v>879</v>
      </c>
      <c r="C492" s="734"/>
      <c r="D492" s="734"/>
      <c r="E492" s="735"/>
      <c r="F492" s="364">
        <f>3.99*X2</f>
        <v>4381.0200000000004</v>
      </c>
      <c r="G492" s="278">
        <f t="shared" si="1451"/>
        <v>4381.0200000000004</v>
      </c>
      <c r="H492" s="607">
        <f t="shared" si="1452"/>
        <v>4981.0200000000004</v>
      </c>
      <c r="I492" s="278">
        <f t="shared" si="1453"/>
        <v>4981.0200000000004</v>
      </c>
      <c r="J492" s="607">
        <f t="shared" si="1454"/>
        <v>4581.0200000000004</v>
      </c>
      <c r="K492" s="278">
        <f t="shared" si="1455"/>
        <v>4581.0200000000004</v>
      </c>
      <c r="L492" s="607">
        <f>F492+150</f>
        <v>4531.0200000000004</v>
      </c>
      <c r="M492" s="278">
        <f t="shared" si="1456"/>
        <v>4531.0200000000004</v>
      </c>
      <c r="N492" s="607">
        <f>F492+110</f>
        <v>4491.0200000000004</v>
      </c>
      <c r="O492" s="278">
        <f t="shared" si="1446"/>
        <v>4491.0200000000004</v>
      </c>
      <c r="P492" s="607">
        <f>F492+90</f>
        <v>4471.0200000000004</v>
      </c>
      <c r="Q492" s="278">
        <f t="shared" si="1457"/>
        <v>4471.0200000000004</v>
      </c>
      <c r="R492" s="607">
        <f>F492+70</f>
        <v>4451.0200000000004</v>
      </c>
      <c r="S492" s="278">
        <f t="shared" si="1448"/>
        <v>4451.0200000000004</v>
      </c>
      <c r="T492" s="607">
        <f>F492+56</f>
        <v>4437.0200000000004</v>
      </c>
      <c r="U492" s="278">
        <f t="shared" si="1458"/>
        <v>4437.0200000000004</v>
      </c>
      <c r="V492" s="607">
        <f>F492+49</f>
        <v>4430.0200000000004</v>
      </c>
      <c r="W492" s="278">
        <f t="shared" si="1459"/>
        <v>4430.0200000000004</v>
      </c>
      <c r="X492" s="652"/>
      <c r="Y492" s="652"/>
      <c r="Z492" s="652"/>
      <c r="AA492" s="653"/>
      <c r="AB492" s="189" t="s">
        <v>792</v>
      </c>
    </row>
    <row r="493" spans="1:31" ht="12.6" customHeight="1" x14ac:dyDescent="0.2">
      <c r="A493" s="18"/>
      <c r="B493" s="659" t="s">
        <v>264</v>
      </c>
      <c r="C493" s="660"/>
      <c r="D493" s="660"/>
      <c r="E493" s="660"/>
      <c r="F493" s="308">
        <v>3820</v>
      </c>
      <c r="G493" s="279">
        <f t="shared" ref="G493:G496" si="1460">+F493*$X$1</f>
        <v>3820</v>
      </c>
      <c r="H493" s="271"/>
      <c r="I493" s="331"/>
      <c r="J493" s="440">
        <f>F493+66</f>
        <v>3886</v>
      </c>
      <c r="K493" s="279"/>
      <c r="L493" s="440">
        <f t="shared" ref="L493:L499" si="1461">F493+400</f>
        <v>4220</v>
      </c>
      <c r="M493" s="279">
        <f t="shared" ref="M493:M514" si="1462">+L493*$X$1</f>
        <v>4220</v>
      </c>
      <c r="N493" s="440">
        <f t="shared" ref="N493:N499" si="1463">F493+350</f>
        <v>4170</v>
      </c>
      <c r="O493" s="279">
        <f t="shared" si="1446"/>
        <v>4170</v>
      </c>
      <c r="P493" s="440">
        <f t="shared" ref="P493:P499" si="1464">F493+310</f>
        <v>4130</v>
      </c>
      <c r="Q493" s="279">
        <f t="shared" ref="Q493:Q499" si="1465">+P493*$X$1</f>
        <v>4130</v>
      </c>
      <c r="R493" s="440">
        <f t="shared" ref="R493:R499" si="1466">F493+280</f>
        <v>4100</v>
      </c>
      <c r="S493" s="279">
        <f t="shared" si="1448"/>
        <v>4100</v>
      </c>
      <c r="T493" s="440">
        <f t="shared" ref="T493:T499" si="1467">F493+240</f>
        <v>4060</v>
      </c>
      <c r="U493" s="279">
        <f t="shared" ref="U493:U499" si="1468">+T493*$X$1</f>
        <v>4060</v>
      </c>
      <c r="V493" s="440">
        <f t="shared" ref="V493:V499" si="1469">F493+220</f>
        <v>4040</v>
      </c>
      <c r="W493" s="279">
        <f t="shared" ref="W493:W499" si="1470">+V493*$X$1</f>
        <v>4040</v>
      </c>
      <c r="X493" s="142"/>
      <c r="Y493" s="128"/>
      <c r="Z493" s="128"/>
      <c r="AA493" s="128"/>
      <c r="AB493" s="189" t="s">
        <v>265</v>
      </c>
    </row>
    <row r="494" spans="1:31" ht="12.6" customHeight="1" x14ac:dyDescent="0.2">
      <c r="A494" s="18"/>
      <c r="B494" s="690" t="s">
        <v>266</v>
      </c>
      <c r="C494" s="691"/>
      <c r="D494" s="691"/>
      <c r="E494" s="691"/>
      <c r="F494" s="278">
        <v>5325</v>
      </c>
      <c r="G494" s="278">
        <f t="shared" si="1460"/>
        <v>5325</v>
      </c>
      <c r="H494" s="272"/>
      <c r="I494" s="330"/>
      <c r="J494" s="607">
        <f>F494+66</f>
        <v>5391</v>
      </c>
      <c r="K494" s="278"/>
      <c r="L494" s="607">
        <f t="shared" si="1461"/>
        <v>5725</v>
      </c>
      <c r="M494" s="278">
        <f t="shared" si="1462"/>
        <v>5725</v>
      </c>
      <c r="N494" s="607">
        <f t="shared" si="1463"/>
        <v>5675</v>
      </c>
      <c r="O494" s="278">
        <f t="shared" si="1446"/>
        <v>5675</v>
      </c>
      <c r="P494" s="607">
        <f t="shared" si="1464"/>
        <v>5635</v>
      </c>
      <c r="Q494" s="278">
        <f t="shared" si="1465"/>
        <v>5635</v>
      </c>
      <c r="R494" s="607">
        <f t="shared" si="1466"/>
        <v>5605</v>
      </c>
      <c r="S494" s="278">
        <f t="shared" si="1448"/>
        <v>5605</v>
      </c>
      <c r="T494" s="607">
        <f t="shared" si="1467"/>
        <v>5565</v>
      </c>
      <c r="U494" s="278">
        <f t="shared" si="1468"/>
        <v>5565</v>
      </c>
      <c r="V494" s="607">
        <f t="shared" si="1469"/>
        <v>5545</v>
      </c>
      <c r="W494" s="278">
        <f t="shared" si="1470"/>
        <v>5545</v>
      </c>
      <c r="X494" s="142"/>
      <c r="Y494" s="128"/>
      <c r="Z494" s="128"/>
      <c r="AA494" s="128"/>
      <c r="AB494" s="401"/>
    </row>
    <row r="495" spans="1:31" ht="12.6" customHeight="1" x14ac:dyDescent="0.2">
      <c r="A495" s="18"/>
      <c r="B495" s="672" t="s">
        <v>267</v>
      </c>
      <c r="C495" s="673"/>
      <c r="D495" s="673"/>
      <c r="E495" s="673"/>
      <c r="F495" s="279">
        <v>4154</v>
      </c>
      <c r="G495" s="279">
        <f t="shared" si="1460"/>
        <v>4154</v>
      </c>
      <c r="H495" s="271"/>
      <c r="I495" s="331"/>
      <c r="J495" s="440">
        <f>F495+80</f>
        <v>4234</v>
      </c>
      <c r="K495" s="279"/>
      <c r="L495" s="440">
        <f t="shared" si="1461"/>
        <v>4554</v>
      </c>
      <c r="M495" s="279">
        <f t="shared" si="1462"/>
        <v>4554</v>
      </c>
      <c r="N495" s="440">
        <f t="shared" si="1463"/>
        <v>4504</v>
      </c>
      <c r="O495" s="279">
        <f t="shared" si="1446"/>
        <v>4504</v>
      </c>
      <c r="P495" s="440">
        <f t="shared" si="1464"/>
        <v>4464</v>
      </c>
      <c r="Q495" s="279">
        <f t="shared" si="1465"/>
        <v>4464</v>
      </c>
      <c r="R495" s="440">
        <f t="shared" si="1466"/>
        <v>4434</v>
      </c>
      <c r="S495" s="279">
        <f t="shared" si="1448"/>
        <v>4434</v>
      </c>
      <c r="T495" s="440">
        <f t="shared" si="1467"/>
        <v>4394</v>
      </c>
      <c r="U495" s="279">
        <f t="shared" si="1468"/>
        <v>4394</v>
      </c>
      <c r="V495" s="440">
        <f t="shared" si="1469"/>
        <v>4374</v>
      </c>
      <c r="W495" s="279">
        <f t="shared" si="1470"/>
        <v>4374</v>
      </c>
      <c r="X495" s="142"/>
      <c r="Y495" s="128"/>
      <c r="Z495" s="128"/>
      <c r="AA495" s="128"/>
      <c r="AB495" s="189" t="s">
        <v>268</v>
      </c>
    </row>
    <row r="496" spans="1:31" ht="12.6" customHeight="1" x14ac:dyDescent="0.2">
      <c r="A496" s="18"/>
      <c r="B496" s="690" t="s">
        <v>269</v>
      </c>
      <c r="C496" s="691"/>
      <c r="D496" s="691"/>
      <c r="E496" s="691"/>
      <c r="F496" s="278">
        <v>5860</v>
      </c>
      <c r="G496" s="278">
        <f t="shared" si="1460"/>
        <v>5860</v>
      </c>
      <c r="H496" s="272"/>
      <c r="I496" s="330"/>
      <c r="J496" s="607">
        <f>F496+80</f>
        <v>5940</v>
      </c>
      <c r="K496" s="278"/>
      <c r="L496" s="607">
        <f t="shared" si="1461"/>
        <v>6260</v>
      </c>
      <c r="M496" s="278">
        <f t="shared" si="1462"/>
        <v>6260</v>
      </c>
      <c r="N496" s="607">
        <f t="shared" si="1463"/>
        <v>6210</v>
      </c>
      <c r="O496" s="278">
        <f t="shared" si="1446"/>
        <v>6210</v>
      </c>
      <c r="P496" s="607">
        <f t="shared" si="1464"/>
        <v>6170</v>
      </c>
      <c r="Q496" s="278">
        <f t="shared" si="1465"/>
        <v>6170</v>
      </c>
      <c r="R496" s="607">
        <f t="shared" si="1466"/>
        <v>6140</v>
      </c>
      <c r="S496" s="278">
        <f t="shared" si="1448"/>
        <v>6140</v>
      </c>
      <c r="T496" s="607">
        <f t="shared" si="1467"/>
        <v>6100</v>
      </c>
      <c r="U496" s="278">
        <f t="shared" si="1468"/>
        <v>6100</v>
      </c>
      <c r="V496" s="607">
        <f t="shared" si="1469"/>
        <v>6080</v>
      </c>
      <c r="W496" s="278">
        <f t="shared" si="1470"/>
        <v>6080</v>
      </c>
      <c r="X496" s="142"/>
      <c r="Y496" s="128"/>
      <c r="Z496" s="128"/>
      <c r="AA496" s="128"/>
      <c r="AB496" s="401"/>
    </row>
    <row r="497" spans="1:28" ht="12.6" customHeight="1" x14ac:dyDescent="0.2">
      <c r="A497" s="18"/>
      <c r="B497" s="655" t="s">
        <v>885</v>
      </c>
      <c r="C497" s="656"/>
      <c r="D497" s="656"/>
      <c r="E497" s="656"/>
      <c r="F497" s="279">
        <v>10565</v>
      </c>
      <c r="G497" s="279">
        <f t="shared" ref="G497" si="1471">+F497*$X$1</f>
        <v>10565</v>
      </c>
      <c r="H497" s="271"/>
      <c r="I497" s="331"/>
      <c r="J497" s="440">
        <f>F497+430</f>
        <v>10995</v>
      </c>
      <c r="K497" s="279">
        <f t="shared" ref="K497" si="1472">+J497*$X$1</f>
        <v>10995</v>
      </c>
      <c r="L497" s="440">
        <f t="shared" si="1461"/>
        <v>10965</v>
      </c>
      <c r="M497" s="279">
        <f t="shared" si="1462"/>
        <v>10965</v>
      </c>
      <c r="N497" s="440">
        <f t="shared" si="1463"/>
        <v>10915</v>
      </c>
      <c r="O497" s="279">
        <f t="shared" si="1446"/>
        <v>10915</v>
      </c>
      <c r="P497" s="440">
        <f t="shared" si="1464"/>
        <v>10875</v>
      </c>
      <c r="Q497" s="279">
        <f t="shared" si="1465"/>
        <v>10875</v>
      </c>
      <c r="R497" s="440">
        <f t="shared" si="1466"/>
        <v>10845</v>
      </c>
      <c r="S497" s="279">
        <f t="shared" si="1448"/>
        <v>10845</v>
      </c>
      <c r="T497" s="440">
        <f t="shared" si="1467"/>
        <v>10805</v>
      </c>
      <c r="U497" s="279">
        <f t="shared" si="1468"/>
        <v>10805</v>
      </c>
      <c r="V497" s="440">
        <f t="shared" si="1469"/>
        <v>10785</v>
      </c>
      <c r="W497" s="279">
        <f t="shared" si="1470"/>
        <v>10785</v>
      </c>
      <c r="X497" s="142"/>
      <c r="Y497" s="128"/>
      <c r="Z497" s="128"/>
      <c r="AA497" s="128"/>
      <c r="AB497" s="189" t="s">
        <v>886</v>
      </c>
    </row>
    <row r="498" spans="1:28" ht="12.6" customHeight="1" x14ac:dyDescent="0.2">
      <c r="A498" s="18"/>
      <c r="B498" s="690" t="s">
        <v>617</v>
      </c>
      <c r="C498" s="691"/>
      <c r="D498" s="691"/>
      <c r="E498" s="691"/>
      <c r="F498" s="278">
        <v>5430</v>
      </c>
      <c r="G498" s="278">
        <f>+F498*$X$1</f>
        <v>5430</v>
      </c>
      <c r="H498" s="272"/>
      <c r="I498" s="330"/>
      <c r="J498" s="607">
        <f>F498+66</f>
        <v>5496</v>
      </c>
      <c r="K498" s="278"/>
      <c r="L498" s="607">
        <f t="shared" si="1461"/>
        <v>5830</v>
      </c>
      <c r="M498" s="278">
        <f t="shared" si="1462"/>
        <v>5830</v>
      </c>
      <c r="N498" s="607">
        <f t="shared" si="1463"/>
        <v>5780</v>
      </c>
      <c r="O498" s="278">
        <f t="shared" si="1446"/>
        <v>5780</v>
      </c>
      <c r="P498" s="607">
        <f t="shared" si="1464"/>
        <v>5740</v>
      </c>
      <c r="Q498" s="278">
        <f t="shared" si="1465"/>
        <v>5740</v>
      </c>
      <c r="R498" s="607">
        <f t="shared" si="1466"/>
        <v>5710</v>
      </c>
      <c r="S498" s="278">
        <f t="shared" si="1448"/>
        <v>5710</v>
      </c>
      <c r="T498" s="607">
        <f t="shared" si="1467"/>
        <v>5670</v>
      </c>
      <c r="U498" s="278">
        <f t="shared" si="1468"/>
        <v>5670</v>
      </c>
      <c r="V498" s="607">
        <f t="shared" si="1469"/>
        <v>5650</v>
      </c>
      <c r="W498" s="278">
        <f t="shared" si="1470"/>
        <v>5650</v>
      </c>
      <c r="X498" s="142"/>
      <c r="Y498" s="128"/>
      <c r="Z498" s="128"/>
      <c r="AA498" s="128"/>
      <c r="AB498" s="189" t="s">
        <v>270</v>
      </c>
    </row>
    <row r="499" spans="1:28" ht="12.6" customHeight="1" x14ac:dyDescent="0.2">
      <c r="A499" s="18"/>
      <c r="B499" s="672" t="s">
        <v>618</v>
      </c>
      <c r="C499" s="673"/>
      <c r="D499" s="673"/>
      <c r="E499" s="673"/>
      <c r="F499" s="279">
        <v>5990</v>
      </c>
      <c r="G499" s="279">
        <f>+F499*$X$1</f>
        <v>5990</v>
      </c>
      <c r="H499" s="271"/>
      <c r="I499" s="331"/>
      <c r="J499" s="440">
        <f>F499+80</f>
        <v>6070</v>
      </c>
      <c r="K499" s="279"/>
      <c r="L499" s="440">
        <f t="shared" si="1461"/>
        <v>6390</v>
      </c>
      <c r="M499" s="279">
        <f t="shared" si="1462"/>
        <v>6390</v>
      </c>
      <c r="N499" s="440">
        <f t="shared" si="1463"/>
        <v>6340</v>
      </c>
      <c r="O499" s="279">
        <f t="shared" si="1446"/>
        <v>6340</v>
      </c>
      <c r="P499" s="440">
        <f t="shared" si="1464"/>
        <v>6300</v>
      </c>
      <c r="Q499" s="279">
        <f t="shared" si="1465"/>
        <v>6300</v>
      </c>
      <c r="R499" s="440">
        <f t="shared" si="1466"/>
        <v>6270</v>
      </c>
      <c r="S499" s="279">
        <f t="shared" si="1448"/>
        <v>6270</v>
      </c>
      <c r="T499" s="440">
        <f t="shared" si="1467"/>
        <v>6230</v>
      </c>
      <c r="U499" s="279">
        <f t="shared" si="1468"/>
        <v>6230</v>
      </c>
      <c r="V499" s="440">
        <f t="shared" si="1469"/>
        <v>6210</v>
      </c>
      <c r="W499" s="279">
        <f t="shared" si="1470"/>
        <v>6210</v>
      </c>
      <c r="X499" s="142"/>
      <c r="Y499" s="128"/>
      <c r="Z499" s="128"/>
      <c r="AA499" s="128"/>
      <c r="AB499" s="189" t="s">
        <v>271</v>
      </c>
    </row>
    <row r="500" spans="1:28" ht="12.6" customHeight="1" x14ac:dyDescent="0.25">
      <c r="A500" s="18"/>
      <c r="B500" s="690" t="s">
        <v>318</v>
      </c>
      <c r="C500" s="691"/>
      <c r="D500" s="691"/>
      <c r="E500" s="691"/>
      <c r="F500" s="278">
        <v>7704</v>
      </c>
      <c r="G500" s="278">
        <f>+F500*$X$1</f>
        <v>7704</v>
      </c>
      <c r="H500" s="607">
        <f t="shared" ref="H500:H505" si="1473">F500+600</f>
        <v>8304</v>
      </c>
      <c r="I500" s="278">
        <f t="shared" ref="I500:I506" si="1474">+H500*$X$1</f>
        <v>8304</v>
      </c>
      <c r="J500" s="607">
        <f t="shared" ref="J500:J505" si="1475">F500+410</f>
        <v>8114</v>
      </c>
      <c r="K500" s="278">
        <f t="shared" ref="K500" si="1476">+J500*$X$1</f>
        <v>8114</v>
      </c>
      <c r="L500" s="607">
        <f t="shared" ref="L500:L505" si="1477">F500+360</f>
        <v>8064</v>
      </c>
      <c r="M500" s="278">
        <f t="shared" si="1462"/>
        <v>8064</v>
      </c>
      <c r="N500" s="607">
        <f t="shared" ref="N500:N505" si="1478">F500+320</f>
        <v>8024</v>
      </c>
      <c r="O500" s="278">
        <f t="shared" ref="O500" si="1479">+N500*$X$1</f>
        <v>8024</v>
      </c>
      <c r="P500" s="607">
        <f t="shared" ref="P500:P505" si="1480">F500+290</f>
        <v>7994</v>
      </c>
      <c r="Q500" s="278">
        <f t="shared" ref="Q500" si="1481">+P500*$X$1</f>
        <v>7994</v>
      </c>
      <c r="R500" s="607">
        <f t="shared" ref="R500:R505" si="1482">F500+270</f>
        <v>7974</v>
      </c>
      <c r="S500" s="278">
        <f t="shared" ref="S500" si="1483">+R500*$X$1</f>
        <v>7974</v>
      </c>
      <c r="T500" s="607">
        <f t="shared" ref="T500:T505" si="1484">F500+230</f>
        <v>7934</v>
      </c>
      <c r="U500" s="278">
        <f t="shared" ref="U500" si="1485">+T500*$X$1</f>
        <v>7934</v>
      </c>
      <c r="V500" s="607">
        <f t="shared" ref="V500:V505" si="1486">F500+210</f>
        <v>7914</v>
      </c>
      <c r="W500" s="278">
        <f t="shared" ref="W500" si="1487">+V500*$X$1</f>
        <v>7914</v>
      </c>
      <c r="X500" s="797"/>
      <c r="Y500" s="1106"/>
      <c r="Z500" s="1106"/>
      <c r="AA500" s="1106"/>
      <c r="AB500" s="189" t="s">
        <v>272</v>
      </c>
    </row>
    <row r="501" spans="1:28" ht="12.6" customHeight="1" x14ac:dyDescent="0.25">
      <c r="A501" s="18"/>
      <c r="B501" s="1026" t="s">
        <v>489</v>
      </c>
      <c r="C501" s="772"/>
      <c r="D501" s="772"/>
      <c r="E501" s="773"/>
      <c r="F501" s="279">
        <v>3510</v>
      </c>
      <c r="G501" s="279">
        <f t="shared" ref="G501" si="1488">+F501*$X$1</f>
        <v>3510</v>
      </c>
      <c r="H501" s="440">
        <f t="shared" si="1473"/>
        <v>4110</v>
      </c>
      <c r="I501" s="279">
        <f t="shared" ref="I501:I505" si="1489">+H501*$X$1</f>
        <v>4110</v>
      </c>
      <c r="J501" s="440">
        <f t="shared" si="1475"/>
        <v>3920</v>
      </c>
      <c r="K501" s="279">
        <f t="shared" ref="K501:K512" si="1490">+J501*$X$1</f>
        <v>3920</v>
      </c>
      <c r="L501" s="440">
        <f t="shared" si="1477"/>
        <v>3870</v>
      </c>
      <c r="M501" s="279">
        <f t="shared" si="1462"/>
        <v>3870</v>
      </c>
      <c r="N501" s="440">
        <f t="shared" si="1478"/>
        <v>3830</v>
      </c>
      <c r="O501" s="279">
        <f t="shared" ref="O501:O505" si="1491">+N501*$X$1</f>
        <v>3830</v>
      </c>
      <c r="P501" s="440">
        <f t="shared" si="1480"/>
        <v>3800</v>
      </c>
      <c r="Q501" s="279">
        <f t="shared" ref="Q501:Q505" si="1492">+P501*$X$1</f>
        <v>3800</v>
      </c>
      <c r="R501" s="440">
        <f t="shared" si="1482"/>
        <v>3780</v>
      </c>
      <c r="S501" s="279">
        <f t="shared" ref="S501:S505" si="1493">+R501*$X$1</f>
        <v>3780</v>
      </c>
      <c r="T501" s="440">
        <f t="shared" si="1484"/>
        <v>3740</v>
      </c>
      <c r="U501" s="279">
        <f t="shared" ref="U501:U505" si="1494">+T501*$X$1</f>
        <v>3740</v>
      </c>
      <c r="V501" s="440">
        <f t="shared" si="1486"/>
        <v>3720</v>
      </c>
      <c r="W501" s="279">
        <f t="shared" ref="W501:W505" si="1495">+V501*$X$1</f>
        <v>3720</v>
      </c>
      <c r="X501" s="797"/>
      <c r="Y501" s="1106"/>
      <c r="Z501" s="1106"/>
      <c r="AA501" s="1106"/>
      <c r="AB501" s="189" t="s">
        <v>423</v>
      </c>
    </row>
    <row r="502" spans="1:28" ht="12.6" customHeight="1" x14ac:dyDescent="0.2">
      <c r="A502" s="18"/>
      <c r="B502" s="690" t="s">
        <v>369</v>
      </c>
      <c r="C502" s="691"/>
      <c r="D502" s="691"/>
      <c r="E502" s="691"/>
      <c r="F502" s="278">
        <v>4530</v>
      </c>
      <c r="G502" s="278">
        <f>+F502*$X$1</f>
        <v>4530</v>
      </c>
      <c r="H502" s="607">
        <f t="shared" si="1473"/>
        <v>5130</v>
      </c>
      <c r="I502" s="278">
        <f t="shared" si="1489"/>
        <v>5130</v>
      </c>
      <c r="J502" s="607">
        <f t="shared" si="1475"/>
        <v>4940</v>
      </c>
      <c r="K502" s="278">
        <f t="shared" si="1490"/>
        <v>4940</v>
      </c>
      <c r="L502" s="607">
        <f t="shared" si="1477"/>
        <v>4890</v>
      </c>
      <c r="M502" s="278">
        <f t="shared" si="1462"/>
        <v>4890</v>
      </c>
      <c r="N502" s="607">
        <f t="shared" si="1478"/>
        <v>4850</v>
      </c>
      <c r="O502" s="278">
        <f t="shared" si="1491"/>
        <v>4850</v>
      </c>
      <c r="P502" s="607">
        <f t="shared" si="1480"/>
        <v>4820</v>
      </c>
      <c r="Q502" s="278">
        <f t="shared" si="1492"/>
        <v>4820</v>
      </c>
      <c r="R502" s="607">
        <f t="shared" si="1482"/>
        <v>4800</v>
      </c>
      <c r="S502" s="278">
        <f t="shared" si="1493"/>
        <v>4800</v>
      </c>
      <c r="T502" s="607">
        <f t="shared" si="1484"/>
        <v>4760</v>
      </c>
      <c r="U502" s="278">
        <f t="shared" si="1494"/>
        <v>4760</v>
      </c>
      <c r="V502" s="607">
        <f t="shared" si="1486"/>
        <v>4740</v>
      </c>
      <c r="W502" s="278">
        <f t="shared" si="1495"/>
        <v>4740</v>
      </c>
      <c r="X502" s="1103"/>
      <c r="Y502" s="1104"/>
      <c r="Z502" s="1104"/>
      <c r="AA502" s="1105"/>
      <c r="AB502" s="189" t="s">
        <v>273</v>
      </c>
    </row>
    <row r="503" spans="1:28" ht="12.6" customHeight="1" x14ac:dyDescent="0.25">
      <c r="A503" s="18"/>
      <c r="B503" s="939" t="s">
        <v>813</v>
      </c>
      <c r="C503" s="1175"/>
      <c r="D503" s="1175"/>
      <c r="E503" s="1175"/>
      <c r="F503" s="279">
        <v>4530</v>
      </c>
      <c r="G503" s="279">
        <f t="shared" ref="G503:G505" si="1496">+F503*$X$1</f>
        <v>4530</v>
      </c>
      <c r="H503" s="440">
        <f t="shared" si="1473"/>
        <v>5130</v>
      </c>
      <c r="I503" s="279">
        <f t="shared" si="1489"/>
        <v>5130</v>
      </c>
      <c r="J503" s="440">
        <f t="shared" si="1475"/>
        <v>4940</v>
      </c>
      <c r="K503" s="279">
        <f t="shared" si="1490"/>
        <v>4940</v>
      </c>
      <c r="L503" s="440">
        <f t="shared" si="1477"/>
        <v>4890</v>
      </c>
      <c r="M503" s="279">
        <f t="shared" si="1462"/>
        <v>4890</v>
      </c>
      <c r="N503" s="440">
        <f t="shared" si="1478"/>
        <v>4850</v>
      </c>
      <c r="O503" s="279">
        <f t="shared" si="1491"/>
        <v>4850</v>
      </c>
      <c r="P503" s="440">
        <f t="shared" si="1480"/>
        <v>4820</v>
      </c>
      <c r="Q503" s="279">
        <f t="shared" si="1492"/>
        <v>4820</v>
      </c>
      <c r="R503" s="440">
        <f t="shared" si="1482"/>
        <v>4800</v>
      </c>
      <c r="S503" s="279">
        <f t="shared" si="1493"/>
        <v>4800</v>
      </c>
      <c r="T503" s="440">
        <f t="shared" si="1484"/>
        <v>4760</v>
      </c>
      <c r="U503" s="279">
        <f t="shared" si="1494"/>
        <v>4760</v>
      </c>
      <c r="V503" s="440">
        <f t="shared" si="1486"/>
        <v>4740</v>
      </c>
      <c r="W503" s="279">
        <f t="shared" si="1495"/>
        <v>4740</v>
      </c>
      <c r="X503" s="797"/>
      <c r="Y503" s="1106"/>
      <c r="Z503" s="1106"/>
      <c r="AA503" s="1106"/>
      <c r="AB503" s="189" t="s">
        <v>274</v>
      </c>
    </row>
    <row r="504" spans="1:28" ht="12.6" customHeight="1" x14ac:dyDescent="0.25">
      <c r="A504" s="18"/>
      <c r="B504" s="1113" t="s">
        <v>520</v>
      </c>
      <c r="C504" s="734"/>
      <c r="D504" s="734"/>
      <c r="E504" s="735"/>
      <c r="F504" s="280">
        <v>3510</v>
      </c>
      <c r="G504" s="278">
        <f>+F504*$X$1</f>
        <v>3510</v>
      </c>
      <c r="H504" s="607">
        <f t="shared" si="1473"/>
        <v>4110</v>
      </c>
      <c r="I504" s="278">
        <f t="shared" si="1489"/>
        <v>4110</v>
      </c>
      <c r="J504" s="607">
        <f t="shared" si="1475"/>
        <v>3920</v>
      </c>
      <c r="K504" s="278">
        <f t="shared" si="1490"/>
        <v>3920</v>
      </c>
      <c r="L504" s="607">
        <f t="shared" si="1477"/>
        <v>3870</v>
      </c>
      <c r="M504" s="278">
        <f t="shared" si="1462"/>
        <v>3870</v>
      </c>
      <c r="N504" s="607">
        <f t="shared" si="1478"/>
        <v>3830</v>
      </c>
      <c r="O504" s="278">
        <f t="shared" si="1491"/>
        <v>3830</v>
      </c>
      <c r="P504" s="607">
        <f t="shared" si="1480"/>
        <v>3800</v>
      </c>
      <c r="Q504" s="278">
        <f t="shared" si="1492"/>
        <v>3800</v>
      </c>
      <c r="R504" s="607">
        <f t="shared" si="1482"/>
        <v>3780</v>
      </c>
      <c r="S504" s="278">
        <f t="shared" si="1493"/>
        <v>3780</v>
      </c>
      <c r="T504" s="607">
        <f t="shared" si="1484"/>
        <v>3740</v>
      </c>
      <c r="U504" s="278">
        <f t="shared" si="1494"/>
        <v>3740</v>
      </c>
      <c r="V504" s="607">
        <f t="shared" si="1486"/>
        <v>3720</v>
      </c>
      <c r="W504" s="278">
        <f t="shared" si="1495"/>
        <v>3720</v>
      </c>
      <c r="X504" s="797"/>
      <c r="Y504" s="1106"/>
      <c r="Z504" s="1106"/>
      <c r="AA504" s="1106"/>
      <c r="AB504" s="29"/>
    </row>
    <row r="505" spans="1:28" ht="12.6" customHeight="1" x14ac:dyDescent="0.25">
      <c r="A505" s="18"/>
      <c r="B505" s="672" t="s">
        <v>317</v>
      </c>
      <c r="C505" s="673"/>
      <c r="D505" s="673"/>
      <c r="E505" s="673"/>
      <c r="F505" s="279">
        <v>7160</v>
      </c>
      <c r="G505" s="279">
        <f t="shared" si="1496"/>
        <v>7160</v>
      </c>
      <c r="H505" s="440">
        <f t="shared" si="1473"/>
        <v>7760</v>
      </c>
      <c r="I505" s="279">
        <f t="shared" si="1489"/>
        <v>7760</v>
      </c>
      <c r="J505" s="440">
        <f t="shared" si="1475"/>
        <v>7570</v>
      </c>
      <c r="K505" s="279">
        <f t="shared" si="1490"/>
        <v>7570</v>
      </c>
      <c r="L505" s="440">
        <f t="shared" si="1477"/>
        <v>7520</v>
      </c>
      <c r="M505" s="279">
        <f t="shared" si="1462"/>
        <v>7520</v>
      </c>
      <c r="N505" s="440">
        <f t="shared" si="1478"/>
        <v>7480</v>
      </c>
      <c r="O505" s="279">
        <f t="shared" si="1491"/>
        <v>7480</v>
      </c>
      <c r="P505" s="440">
        <f t="shared" si="1480"/>
        <v>7450</v>
      </c>
      <c r="Q505" s="279">
        <f t="shared" si="1492"/>
        <v>7450</v>
      </c>
      <c r="R505" s="440">
        <f t="shared" si="1482"/>
        <v>7430</v>
      </c>
      <c r="S505" s="279">
        <f t="shared" si="1493"/>
        <v>7430</v>
      </c>
      <c r="T505" s="440">
        <f t="shared" si="1484"/>
        <v>7390</v>
      </c>
      <c r="U505" s="279">
        <f t="shared" si="1494"/>
        <v>7390</v>
      </c>
      <c r="V505" s="440">
        <f t="shared" si="1486"/>
        <v>7370</v>
      </c>
      <c r="W505" s="279">
        <f t="shared" si="1495"/>
        <v>7370</v>
      </c>
      <c r="X505" s="797"/>
      <c r="Y505" s="1106"/>
      <c r="Z505" s="1106"/>
      <c r="AA505" s="1106"/>
      <c r="AB505" s="189" t="s">
        <v>275</v>
      </c>
    </row>
    <row r="506" spans="1:28" ht="12.6" customHeight="1" x14ac:dyDescent="0.2">
      <c r="A506" s="18"/>
      <c r="B506" s="690" t="s">
        <v>741</v>
      </c>
      <c r="C506" s="1028"/>
      <c r="D506" s="1028"/>
      <c r="E506" s="1028"/>
      <c r="F506" s="278">
        <v>12023</v>
      </c>
      <c r="G506" s="278">
        <f>+F506*$X$1</f>
        <v>12023</v>
      </c>
      <c r="H506" s="607">
        <f>F506+700</f>
        <v>12723</v>
      </c>
      <c r="I506" s="278">
        <f t="shared" si="1474"/>
        <v>12723</v>
      </c>
      <c r="J506" s="607">
        <f t="shared" ref="J506:J512" si="1497">F506+430</f>
        <v>12453</v>
      </c>
      <c r="K506" s="278">
        <f t="shared" si="1490"/>
        <v>12453</v>
      </c>
      <c r="L506" s="607">
        <f t="shared" ref="L506:L512" si="1498">F506+400</f>
        <v>12423</v>
      </c>
      <c r="M506" s="278">
        <f t="shared" si="1462"/>
        <v>12423</v>
      </c>
      <c r="N506" s="607">
        <f t="shared" ref="N506:N512" si="1499">F506+350</f>
        <v>12373</v>
      </c>
      <c r="O506" s="278">
        <f t="shared" ref="O506:O512" si="1500">+N506*$X$1</f>
        <v>12373</v>
      </c>
      <c r="P506" s="607">
        <f t="shared" ref="P506:P512" si="1501">F506+310</f>
        <v>12333</v>
      </c>
      <c r="Q506" s="278">
        <f t="shared" ref="Q506:Q512" si="1502">+P506*$X$1</f>
        <v>12333</v>
      </c>
      <c r="R506" s="607">
        <f t="shared" ref="R506:R512" si="1503">F506+280</f>
        <v>12303</v>
      </c>
      <c r="S506" s="278">
        <f t="shared" ref="S506:S512" si="1504">+R506*$X$1</f>
        <v>12303</v>
      </c>
      <c r="T506" s="607">
        <f t="shared" ref="T506:T512" si="1505">F506+240</f>
        <v>12263</v>
      </c>
      <c r="U506" s="278">
        <f t="shared" ref="U506:U512" si="1506">+T506*$X$1</f>
        <v>12263</v>
      </c>
      <c r="V506" s="607">
        <f t="shared" ref="V506:V512" si="1507">F506+220</f>
        <v>12243</v>
      </c>
      <c r="W506" s="278">
        <f t="shared" ref="W506:W512" si="1508">+V506*$X$1</f>
        <v>12243</v>
      </c>
      <c r="X506" s="143"/>
      <c r="Y506" s="131"/>
      <c r="Z506" s="131"/>
      <c r="AA506" s="134"/>
      <c r="AB506" s="189" t="s">
        <v>276</v>
      </c>
    </row>
    <row r="507" spans="1:28" ht="12.6" customHeight="1" x14ac:dyDescent="0.2">
      <c r="A507" s="18"/>
      <c r="B507" s="672" t="s">
        <v>742</v>
      </c>
      <c r="C507" s="1027"/>
      <c r="D507" s="1027"/>
      <c r="E507" s="1027"/>
      <c r="F507" s="279">
        <v>12076</v>
      </c>
      <c r="G507" s="279">
        <f t="shared" ref="G507" si="1509">+F507*$X$1</f>
        <v>12076</v>
      </c>
      <c r="H507" s="440">
        <f>F507+700</f>
        <v>12776</v>
      </c>
      <c r="I507" s="279">
        <f>+H507*$X$1</f>
        <v>12776</v>
      </c>
      <c r="J507" s="440">
        <f t="shared" si="1497"/>
        <v>12506</v>
      </c>
      <c r="K507" s="279">
        <f t="shared" si="1490"/>
        <v>12506</v>
      </c>
      <c r="L507" s="440">
        <f t="shared" si="1498"/>
        <v>12476</v>
      </c>
      <c r="M507" s="279">
        <f t="shared" si="1462"/>
        <v>12476</v>
      </c>
      <c r="N507" s="440">
        <f t="shared" si="1499"/>
        <v>12426</v>
      </c>
      <c r="O507" s="279">
        <f t="shared" si="1500"/>
        <v>12426</v>
      </c>
      <c r="P507" s="440">
        <f t="shared" si="1501"/>
        <v>12386</v>
      </c>
      <c r="Q507" s="279">
        <f t="shared" si="1502"/>
        <v>12386</v>
      </c>
      <c r="R507" s="440">
        <f t="shared" si="1503"/>
        <v>12356</v>
      </c>
      <c r="S507" s="279">
        <f t="shared" si="1504"/>
        <v>12356</v>
      </c>
      <c r="T507" s="440">
        <f t="shared" si="1505"/>
        <v>12316</v>
      </c>
      <c r="U507" s="279">
        <f t="shared" si="1506"/>
        <v>12316</v>
      </c>
      <c r="V507" s="440">
        <f t="shared" si="1507"/>
        <v>12296</v>
      </c>
      <c r="W507" s="279">
        <f t="shared" si="1508"/>
        <v>12296</v>
      </c>
      <c r="X507" s="143"/>
      <c r="Y507" s="131"/>
      <c r="Z507" s="131"/>
      <c r="AA507" s="134"/>
      <c r="AB507" s="189" t="s">
        <v>277</v>
      </c>
    </row>
    <row r="508" spans="1:28" ht="12.6" customHeight="1" x14ac:dyDescent="0.2">
      <c r="A508" s="18"/>
      <c r="B508" s="655" t="s">
        <v>906</v>
      </c>
      <c r="C508" s="738"/>
      <c r="D508" s="738"/>
      <c r="E508" s="738"/>
      <c r="F508" s="364">
        <f>9.21*X2</f>
        <v>10112.580000000002</v>
      </c>
      <c r="G508" s="278">
        <f t="shared" ref="G508" si="1510">+F508*$X$1</f>
        <v>10112.580000000002</v>
      </c>
      <c r="H508" s="607">
        <f>F508+700</f>
        <v>10812.580000000002</v>
      </c>
      <c r="I508" s="278">
        <f>+H508*$X$1</f>
        <v>10812.580000000002</v>
      </c>
      <c r="J508" s="607">
        <f t="shared" si="1497"/>
        <v>10542.580000000002</v>
      </c>
      <c r="K508" s="278">
        <f t="shared" si="1490"/>
        <v>10542.580000000002</v>
      </c>
      <c r="L508" s="607">
        <f t="shared" si="1498"/>
        <v>10512.580000000002</v>
      </c>
      <c r="M508" s="278">
        <f t="shared" si="1462"/>
        <v>10512.580000000002</v>
      </c>
      <c r="N508" s="607">
        <f t="shared" si="1499"/>
        <v>10462.580000000002</v>
      </c>
      <c r="O508" s="278">
        <f t="shared" si="1500"/>
        <v>10462.580000000002</v>
      </c>
      <c r="P508" s="607">
        <f t="shared" si="1501"/>
        <v>10422.580000000002</v>
      </c>
      <c r="Q508" s="278">
        <f t="shared" si="1502"/>
        <v>10422.580000000002</v>
      </c>
      <c r="R508" s="607">
        <f t="shared" si="1503"/>
        <v>10392.580000000002</v>
      </c>
      <c r="S508" s="278">
        <f t="shared" si="1504"/>
        <v>10392.580000000002</v>
      </c>
      <c r="T508" s="607">
        <f t="shared" si="1505"/>
        <v>10352.580000000002</v>
      </c>
      <c r="U508" s="278">
        <f t="shared" si="1506"/>
        <v>10352.580000000002</v>
      </c>
      <c r="V508" s="607">
        <f t="shared" si="1507"/>
        <v>10332.580000000002</v>
      </c>
      <c r="W508" s="278">
        <f t="shared" si="1508"/>
        <v>10332.580000000002</v>
      </c>
      <c r="X508" s="143"/>
      <c r="Y508" s="131"/>
      <c r="Z508" s="131"/>
      <c r="AA508" s="134"/>
      <c r="AB508" s="189" t="s">
        <v>907</v>
      </c>
    </row>
    <row r="509" spans="1:28" ht="12.6" customHeight="1" x14ac:dyDescent="0.2">
      <c r="A509" s="18"/>
      <c r="B509" s="655" t="s">
        <v>908</v>
      </c>
      <c r="C509" s="738"/>
      <c r="D509" s="738"/>
      <c r="E509" s="738"/>
      <c r="F509" s="365">
        <f>9.4*X2</f>
        <v>10321.200000000001</v>
      </c>
      <c r="G509" s="279">
        <f t="shared" ref="G509" si="1511">+F509*$X$1</f>
        <v>10321.200000000001</v>
      </c>
      <c r="H509" s="440">
        <f>F509+700</f>
        <v>11021.2</v>
      </c>
      <c r="I509" s="279">
        <f t="shared" ref="I509" si="1512">+H509*$X$1</f>
        <v>11021.2</v>
      </c>
      <c r="J509" s="440">
        <f t="shared" si="1497"/>
        <v>10751.2</v>
      </c>
      <c r="K509" s="279">
        <f t="shared" si="1490"/>
        <v>10751.2</v>
      </c>
      <c r="L509" s="440">
        <f t="shared" si="1498"/>
        <v>10721.2</v>
      </c>
      <c r="M509" s="279">
        <f t="shared" si="1462"/>
        <v>10721.2</v>
      </c>
      <c r="N509" s="440">
        <f t="shared" si="1499"/>
        <v>10671.2</v>
      </c>
      <c r="O509" s="279">
        <f t="shared" si="1500"/>
        <v>10671.2</v>
      </c>
      <c r="P509" s="440">
        <f t="shared" si="1501"/>
        <v>10631.2</v>
      </c>
      <c r="Q509" s="279">
        <f t="shared" si="1502"/>
        <v>10631.2</v>
      </c>
      <c r="R509" s="440">
        <f t="shared" si="1503"/>
        <v>10601.2</v>
      </c>
      <c r="S509" s="279">
        <f t="shared" si="1504"/>
        <v>10601.2</v>
      </c>
      <c r="T509" s="440">
        <f t="shared" si="1505"/>
        <v>10561.2</v>
      </c>
      <c r="U509" s="279">
        <f t="shared" si="1506"/>
        <v>10561.2</v>
      </c>
      <c r="V509" s="440">
        <f t="shared" si="1507"/>
        <v>10541.2</v>
      </c>
      <c r="W509" s="279">
        <f t="shared" si="1508"/>
        <v>10541.2</v>
      </c>
      <c r="X509" s="143"/>
      <c r="Y509" s="131"/>
      <c r="Z509" s="131"/>
      <c r="AA509" s="134"/>
      <c r="AB509" s="189" t="s">
        <v>909</v>
      </c>
    </row>
    <row r="510" spans="1:28" ht="12.6" customHeight="1" x14ac:dyDescent="0.2">
      <c r="A510" s="18"/>
      <c r="B510" s="690" t="s">
        <v>278</v>
      </c>
      <c r="C510" s="691"/>
      <c r="D510" s="691"/>
      <c r="E510" s="691"/>
      <c r="F510" s="278">
        <v>8316</v>
      </c>
      <c r="G510" s="278">
        <f>+F510*$X$1</f>
        <v>8316</v>
      </c>
      <c r="H510" s="607"/>
      <c r="I510" s="278"/>
      <c r="J510" s="607">
        <f t="shared" si="1497"/>
        <v>8746</v>
      </c>
      <c r="K510" s="278">
        <f t="shared" si="1490"/>
        <v>8746</v>
      </c>
      <c r="L510" s="607">
        <f t="shared" si="1498"/>
        <v>8716</v>
      </c>
      <c r="M510" s="278">
        <f t="shared" si="1462"/>
        <v>8716</v>
      </c>
      <c r="N510" s="607">
        <f t="shared" si="1499"/>
        <v>8666</v>
      </c>
      <c r="O510" s="278">
        <f t="shared" si="1500"/>
        <v>8666</v>
      </c>
      <c r="P510" s="607">
        <f t="shared" si="1501"/>
        <v>8626</v>
      </c>
      <c r="Q510" s="278">
        <f t="shared" si="1502"/>
        <v>8626</v>
      </c>
      <c r="R510" s="607">
        <f t="shared" si="1503"/>
        <v>8596</v>
      </c>
      <c r="S510" s="278">
        <f t="shared" si="1504"/>
        <v>8596</v>
      </c>
      <c r="T510" s="607">
        <f t="shared" si="1505"/>
        <v>8556</v>
      </c>
      <c r="U510" s="278">
        <f t="shared" si="1506"/>
        <v>8556</v>
      </c>
      <c r="V510" s="607">
        <f t="shared" si="1507"/>
        <v>8536</v>
      </c>
      <c r="W510" s="278">
        <f t="shared" si="1508"/>
        <v>8536</v>
      </c>
      <c r="X510" s="143"/>
      <c r="Y510" s="131"/>
      <c r="Z510" s="131"/>
      <c r="AA510" s="134"/>
      <c r="AB510" s="189" t="s">
        <v>279</v>
      </c>
    </row>
    <row r="511" spans="1:28" ht="12.6" customHeight="1" x14ac:dyDescent="0.2">
      <c r="A511" s="18"/>
      <c r="B511" s="672" t="s">
        <v>280</v>
      </c>
      <c r="C511" s="673"/>
      <c r="D511" s="673"/>
      <c r="E511" s="673"/>
      <c r="F511" s="279">
        <v>9240</v>
      </c>
      <c r="G511" s="279">
        <f>+F511*$X$1</f>
        <v>9240</v>
      </c>
      <c r="H511" s="440"/>
      <c r="I511" s="279"/>
      <c r="J511" s="440">
        <f t="shared" si="1497"/>
        <v>9670</v>
      </c>
      <c r="K511" s="279">
        <f t="shared" si="1490"/>
        <v>9670</v>
      </c>
      <c r="L511" s="440">
        <f t="shared" si="1498"/>
        <v>9640</v>
      </c>
      <c r="M511" s="279">
        <f t="shared" si="1462"/>
        <v>9640</v>
      </c>
      <c r="N511" s="440">
        <f t="shared" si="1499"/>
        <v>9590</v>
      </c>
      <c r="O511" s="279">
        <f t="shared" si="1500"/>
        <v>9590</v>
      </c>
      <c r="P511" s="440">
        <f t="shared" si="1501"/>
        <v>9550</v>
      </c>
      <c r="Q511" s="279">
        <f t="shared" si="1502"/>
        <v>9550</v>
      </c>
      <c r="R511" s="440">
        <f t="shared" si="1503"/>
        <v>9520</v>
      </c>
      <c r="S511" s="279">
        <f t="shared" si="1504"/>
        <v>9520</v>
      </c>
      <c r="T511" s="440">
        <f t="shared" si="1505"/>
        <v>9480</v>
      </c>
      <c r="U511" s="279">
        <f t="shared" si="1506"/>
        <v>9480</v>
      </c>
      <c r="V511" s="440">
        <f t="shared" si="1507"/>
        <v>9460</v>
      </c>
      <c r="W511" s="279">
        <f t="shared" si="1508"/>
        <v>9460</v>
      </c>
      <c r="X511" s="143"/>
      <c r="Y511" s="131"/>
      <c r="Z511" s="131"/>
      <c r="AA511" s="134"/>
      <c r="AB511" s="189" t="s">
        <v>281</v>
      </c>
    </row>
    <row r="512" spans="1:28" ht="12.6" customHeight="1" x14ac:dyDescent="0.2">
      <c r="A512" s="18"/>
      <c r="B512" s="655" t="s">
        <v>911</v>
      </c>
      <c r="C512" s="738"/>
      <c r="D512" s="738"/>
      <c r="E512" s="738"/>
      <c r="F512" s="278">
        <v>10500</v>
      </c>
      <c r="G512" s="278">
        <f t="shared" ref="G512:G514" si="1513">+F512*$X$1</f>
        <v>10500</v>
      </c>
      <c r="H512" s="607"/>
      <c r="I512" s="278"/>
      <c r="J512" s="607">
        <f t="shared" si="1497"/>
        <v>10930</v>
      </c>
      <c r="K512" s="278">
        <f t="shared" si="1490"/>
        <v>10930</v>
      </c>
      <c r="L512" s="607">
        <f t="shared" si="1498"/>
        <v>10900</v>
      </c>
      <c r="M512" s="278">
        <f t="shared" si="1462"/>
        <v>10900</v>
      </c>
      <c r="N512" s="607">
        <f t="shared" si="1499"/>
        <v>10850</v>
      </c>
      <c r="O512" s="278">
        <f t="shared" si="1500"/>
        <v>10850</v>
      </c>
      <c r="P512" s="607">
        <f t="shared" si="1501"/>
        <v>10810</v>
      </c>
      <c r="Q512" s="278">
        <f t="shared" si="1502"/>
        <v>10810</v>
      </c>
      <c r="R512" s="607">
        <f t="shared" si="1503"/>
        <v>10780</v>
      </c>
      <c r="S512" s="278">
        <f t="shared" si="1504"/>
        <v>10780</v>
      </c>
      <c r="T512" s="607">
        <f t="shared" si="1505"/>
        <v>10740</v>
      </c>
      <c r="U512" s="278">
        <f t="shared" si="1506"/>
        <v>10740</v>
      </c>
      <c r="V512" s="607">
        <f t="shared" si="1507"/>
        <v>10720</v>
      </c>
      <c r="W512" s="278">
        <f t="shared" si="1508"/>
        <v>10720</v>
      </c>
      <c r="X512" s="143"/>
      <c r="Y512" s="131"/>
      <c r="Z512" s="131"/>
      <c r="AA512" s="134"/>
      <c r="AB512" s="189" t="s">
        <v>910</v>
      </c>
    </row>
    <row r="513" spans="1:34" ht="12.6" customHeight="1" x14ac:dyDescent="0.2">
      <c r="A513" s="18"/>
      <c r="B513" s="655" t="s">
        <v>989</v>
      </c>
      <c r="C513" s="656"/>
      <c r="D513" s="656"/>
      <c r="E513" s="656"/>
      <c r="F513" s="365">
        <f>4.65*X2</f>
        <v>5105.7000000000007</v>
      </c>
      <c r="G513" s="279">
        <f t="shared" si="1513"/>
        <v>5105.7000000000007</v>
      </c>
      <c r="H513" s="440">
        <f t="shared" ref="H513:H518" si="1514">F513+600</f>
        <v>5705.7000000000007</v>
      </c>
      <c r="I513" s="279">
        <f t="shared" ref="I513:I514" si="1515">+H513*$X$1</f>
        <v>5705.7000000000007</v>
      </c>
      <c r="J513" s="440">
        <f>F513+410</f>
        <v>5515.7000000000007</v>
      </c>
      <c r="K513" s="279">
        <f t="shared" ref="K513:K514" si="1516">+J513*$X$1</f>
        <v>5515.7000000000007</v>
      </c>
      <c r="L513" s="440">
        <f>F513+360</f>
        <v>5465.7000000000007</v>
      </c>
      <c r="M513" s="279">
        <f t="shared" si="1462"/>
        <v>5465.7000000000007</v>
      </c>
      <c r="N513" s="440">
        <f>F513+320</f>
        <v>5425.7000000000007</v>
      </c>
      <c r="O513" s="279">
        <f t="shared" ref="O513:O514" si="1517">+N513*$X$1</f>
        <v>5425.7000000000007</v>
      </c>
      <c r="P513" s="440">
        <f>F513+290</f>
        <v>5395.7000000000007</v>
      </c>
      <c r="Q513" s="279">
        <f t="shared" ref="Q513:Q514" si="1518">+P513*$X$1</f>
        <v>5395.7000000000007</v>
      </c>
      <c r="R513" s="440">
        <f>F513+270</f>
        <v>5375.7000000000007</v>
      </c>
      <c r="S513" s="279">
        <f t="shared" ref="S513:S514" si="1519">+R513*$X$1</f>
        <v>5375.7000000000007</v>
      </c>
      <c r="T513" s="440">
        <f>F513+230</f>
        <v>5335.7000000000007</v>
      </c>
      <c r="U513" s="279">
        <f t="shared" ref="U513:U514" si="1520">+T513*$X$1</f>
        <v>5335.7000000000007</v>
      </c>
      <c r="V513" s="440">
        <f>F513+210</f>
        <v>5315.7000000000007</v>
      </c>
      <c r="W513" s="279">
        <f t="shared" ref="W513:W514" si="1521">+V513*$X$1</f>
        <v>5315.7000000000007</v>
      </c>
      <c r="X513" s="1103"/>
      <c r="Y513" s="1104"/>
      <c r="Z513" s="1104"/>
      <c r="AA513" s="1105"/>
      <c r="AB513" s="189" t="s">
        <v>954</v>
      </c>
    </row>
    <row r="514" spans="1:34" ht="12.6" customHeight="1" x14ac:dyDescent="0.2">
      <c r="A514" s="18"/>
      <c r="B514" s="655" t="s">
        <v>955</v>
      </c>
      <c r="C514" s="656"/>
      <c r="D514" s="656"/>
      <c r="E514" s="656"/>
      <c r="F514" s="364">
        <f>3.61*X2</f>
        <v>3963.7799999999997</v>
      </c>
      <c r="G514" s="278">
        <f t="shared" si="1513"/>
        <v>3963.7799999999997</v>
      </c>
      <c r="H514" s="607">
        <f t="shared" si="1514"/>
        <v>4563.78</v>
      </c>
      <c r="I514" s="278">
        <f t="shared" si="1515"/>
        <v>4563.78</v>
      </c>
      <c r="J514" s="607">
        <f>F514+410</f>
        <v>4373.78</v>
      </c>
      <c r="K514" s="278">
        <f t="shared" si="1516"/>
        <v>4373.78</v>
      </c>
      <c r="L514" s="607">
        <f>F514+360</f>
        <v>4323.78</v>
      </c>
      <c r="M514" s="278">
        <f t="shared" si="1462"/>
        <v>4323.78</v>
      </c>
      <c r="N514" s="607">
        <f>F514+320</f>
        <v>4283.78</v>
      </c>
      <c r="O514" s="278">
        <f t="shared" si="1517"/>
        <v>4283.78</v>
      </c>
      <c r="P514" s="607">
        <f>F514+290</f>
        <v>4253.78</v>
      </c>
      <c r="Q514" s="278">
        <f t="shared" si="1518"/>
        <v>4253.78</v>
      </c>
      <c r="R514" s="607">
        <f>F514+270</f>
        <v>4233.78</v>
      </c>
      <c r="S514" s="278">
        <f t="shared" si="1519"/>
        <v>4233.78</v>
      </c>
      <c r="T514" s="607">
        <f>F514+230</f>
        <v>4193.78</v>
      </c>
      <c r="U514" s="278">
        <f t="shared" si="1520"/>
        <v>4193.78</v>
      </c>
      <c r="V514" s="607">
        <f>F514+210</f>
        <v>4173.78</v>
      </c>
      <c r="W514" s="278">
        <f t="shared" si="1521"/>
        <v>4173.78</v>
      </c>
      <c r="X514" s="1103"/>
      <c r="Y514" s="1104"/>
      <c r="Z514" s="1104"/>
      <c r="AA514" s="1105"/>
      <c r="AB514" s="189" t="s">
        <v>956</v>
      </c>
    </row>
    <row r="515" spans="1:34" ht="12.6" customHeight="1" x14ac:dyDescent="0.2">
      <c r="A515" s="18"/>
      <c r="B515" s="672" t="s">
        <v>549</v>
      </c>
      <c r="C515" s="673"/>
      <c r="D515" s="673"/>
      <c r="E515" s="673"/>
      <c r="F515" s="365">
        <f>3.82*X2</f>
        <v>4194.3599999999997</v>
      </c>
      <c r="G515" s="279">
        <f t="shared" ref="G515" si="1522">+F515*$X$1</f>
        <v>4194.3599999999997</v>
      </c>
      <c r="H515" s="440">
        <f t="shared" si="1514"/>
        <v>4794.3599999999997</v>
      </c>
      <c r="I515" s="279">
        <f t="shared" ref="I515:I518" si="1523">+H515*$X$1</f>
        <v>4794.3599999999997</v>
      </c>
      <c r="J515" s="440">
        <f>F515+350</f>
        <v>4544.3599999999997</v>
      </c>
      <c r="K515" s="279">
        <f t="shared" ref="K515:K518" si="1524">+J515*$X$1</f>
        <v>4544.3599999999997</v>
      </c>
      <c r="L515" s="440">
        <f>F515+300</f>
        <v>4494.3599999999997</v>
      </c>
      <c r="M515" s="279">
        <f t="shared" ref="M515" si="1525">+L515*$X$1</f>
        <v>4494.3599999999997</v>
      </c>
      <c r="N515" s="440">
        <f>F515+270</f>
        <v>4464.3599999999997</v>
      </c>
      <c r="O515" s="279">
        <f>+N515*$X$1</f>
        <v>4464.3599999999997</v>
      </c>
      <c r="P515" s="440">
        <f>F515+240</f>
        <v>4434.3599999999997</v>
      </c>
      <c r="Q515" s="279">
        <f t="shared" ref="Q515:Q518" si="1526">+P515*$X$1</f>
        <v>4434.3599999999997</v>
      </c>
      <c r="R515" s="440">
        <f>F515+220</f>
        <v>4414.3599999999997</v>
      </c>
      <c r="S515" s="279">
        <f t="shared" ref="S515:S518" si="1527">+R515*$X$1</f>
        <v>4414.3599999999997</v>
      </c>
      <c r="T515" s="440">
        <f>F515+190</f>
        <v>4384.3599999999997</v>
      </c>
      <c r="U515" s="279">
        <f t="shared" ref="U515:U518" si="1528">+T515*$X$1</f>
        <v>4384.3599999999997</v>
      </c>
      <c r="V515" s="440">
        <f>F515+150</f>
        <v>4344.3599999999997</v>
      </c>
      <c r="W515" s="279">
        <f t="shared" ref="W515:W518" si="1529">+V515*$X$1</f>
        <v>4344.3599999999997</v>
      </c>
      <c r="X515" s="1103"/>
      <c r="Y515" s="1104"/>
      <c r="Z515" s="1104"/>
      <c r="AA515" s="1105"/>
      <c r="AB515" s="189" t="s">
        <v>282</v>
      </c>
    </row>
    <row r="516" spans="1:34" ht="12.6" customHeight="1" x14ac:dyDescent="0.2">
      <c r="A516" s="18"/>
      <c r="B516" s="690" t="s">
        <v>624</v>
      </c>
      <c r="C516" s="691"/>
      <c r="D516" s="691"/>
      <c r="E516" s="691"/>
      <c r="F516" s="364">
        <f>3.82*X2</f>
        <v>4194.3599999999997</v>
      </c>
      <c r="G516" s="278">
        <f t="shared" ref="G516" si="1530">+F516*$X$1</f>
        <v>4194.3599999999997</v>
      </c>
      <c r="H516" s="607">
        <f t="shared" si="1514"/>
        <v>4794.3599999999997</v>
      </c>
      <c r="I516" s="278">
        <f t="shared" si="1523"/>
        <v>4794.3599999999997</v>
      </c>
      <c r="J516" s="607">
        <f>F516+410</f>
        <v>4604.3599999999997</v>
      </c>
      <c r="K516" s="278">
        <f t="shared" si="1524"/>
        <v>4604.3599999999997</v>
      </c>
      <c r="L516" s="607">
        <f>F516+360</f>
        <v>4554.3599999999997</v>
      </c>
      <c r="M516" s="278">
        <f>+L516*$X$1</f>
        <v>4554.3599999999997</v>
      </c>
      <c r="N516" s="607">
        <f>F516+320</f>
        <v>4514.3599999999997</v>
      </c>
      <c r="O516" s="278">
        <f t="shared" ref="O516:O518" si="1531">+N516*$X$1</f>
        <v>4514.3599999999997</v>
      </c>
      <c r="P516" s="607">
        <f>F516+290</f>
        <v>4484.3599999999997</v>
      </c>
      <c r="Q516" s="278">
        <f t="shared" si="1526"/>
        <v>4484.3599999999997</v>
      </c>
      <c r="R516" s="607">
        <f>F516+270</f>
        <v>4464.3599999999997</v>
      </c>
      <c r="S516" s="278">
        <f t="shared" si="1527"/>
        <v>4464.3599999999997</v>
      </c>
      <c r="T516" s="607">
        <f>F516+230</f>
        <v>4424.3599999999997</v>
      </c>
      <c r="U516" s="278">
        <f t="shared" si="1528"/>
        <v>4424.3599999999997</v>
      </c>
      <c r="V516" s="607">
        <f>F516+210</f>
        <v>4404.3599999999997</v>
      </c>
      <c r="W516" s="278">
        <f t="shared" si="1529"/>
        <v>4404.3599999999997</v>
      </c>
      <c r="X516" s="1103"/>
      <c r="Y516" s="1104"/>
      <c r="Z516" s="1104"/>
      <c r="AA516" s="1105"/>
      <c r="AB516" s="189" t="s">
        <v>625</v>
      </c>
    </row>
    <row r="517" spans="1:34" ht="12.6" customHeight="1" x14ac:dyDescent="0.2">
      <c r="A517" s="18"/>
      <c r="B517" s="672" t="s">
        <v>382</v>
      </c>
      <c r="C517" s="712"/>
      <c r="D517" s="712"/>
      <c r="E517" s="712"/>
      <c r="F517" s="365">
        <f>3.116*X2</f>
        <v>3421.3679999999999</v>
      </c>
      <c r="G517" s="279">
        <f t="shared" ref="G517" si="1532">+F517*$X$1</f>
        <v>3421.3679999999999</v>
      </c>
      <c r="H517" s="440">
        <f t="shared" si="1514"/>
        <v>4021.3679999999999</v>
      </c>
      <c r="I517" s="279">
        <f t="shared" si="1523"/>
        <v>4021.3679999999999</v>
      </c>
      <c r="J517" s="440">
        <f>F517+410</f>
        <v>3831.3679999999999</v>
      </c>
      <c r="K517" s="279">
        <f t="shared" si="1524"/>
        <v>3831.3679999999999</v>
      </c>
      <c r="L517" s="440">
        <f>F517+360</f>
        <v>3781.3679999999999</v>
      </c>
      <c r="M517" s="279">
        <f>+L517*$X$1</f>
        <v>3781.3679999999999</v>
      </c>
      <c r="N517" s="440">
        <f>F517+320</f>
        <v>3741.3679999999999</v>
      </c>
      <c r="O517" s="279">
        <f t="shared" si="1531"/>
        <v>3741.3679999999999</v>
      </c>
      <c r="P517" s="440">
        <f>F517+290</f>
        <v>3711.3679999999999</v>
      </c>
      <c r="Q517" s="279">
        <f t="shared" si="1526"/>
        <v>3711.3679999999999</v>
      </c>
      <c r="R517" s="440">
        <f>F517+270</f>
        <v>3691.3679999999999</v>
      </c>
      <c r="S517" s="279">
        <f t="shared" si="1527"/>
        <v>3691.3679999999999</v>
      </c>
      <c r="T517" s="440">
        <f>F517+230</f>
        <v>3651.3679999999999</v>
      </c>
      <c r="U517" s="279">
        <f t="shared" si="1528"/>
        <v>3651.3679999999999</v>
      </c>
      <c r="V517" s="440">
        <f>F517+210</f>
        <v>3631.3679999999999</v>
      </c>
      <c r="W517" s="279">
        <f t="shared" si="1529"/>
        <v>3631.3679999999999</v>
      </c>
      <c r="X517" s="1103"/>
      <c r="Y517" s="1104"/>
      <c r="Z517" s="1104"/>
      <c r="AA517" s="1105"/>
      <c r="AB517" s="189" t="s">
        <v>448</v>
      </c>
    </row>
    <row r="518" spans="1:34" ht="12.6" customHeight="1" x14ac:dyDescent="0.2">
      <c r="A518" s="18"/>
      <c r="B518" s="690" t="s">
        <v>670</v>
      </c>
      <c r="C518" s="943"/>
      <c r="D518" s="943"/>
      <c r="E518" s="943"/>
      <c r="F518" s="364">
        <f>5*X2</f>
        <v>5490</v>
      </c>
      <c r="G518" s="278">
        <f t="shared" ref="G518" si="1533">+F518*$X$1</f>
        <v>5490</v>
      </c>
      <c r="H518" s="607">
        <f t="shared" si="1514"/>
        <v>6090</v>
      </c>
      <c r="I518" s="278">
        <f t="shared" si="1523"/>
        <v>6090</v>
      </c>
      <c r="J518" s="607">
        <f>F518+410</f>
        <v>5900</v>
      </c>
      <c r="K518" s="278">
        <f t="shared" si="1524"/>
        <v>5900</v>
      </c>
      <c r="L518" s="607">
        <f>F518+360</f>
        <v>5850</v>
      </c>
      <c r="M518" s="278">
        <f>+L518*$X$1</f>
        <v>5850</v>
      </c>
      <c r="N518" s="607">
        <f>F518+320</f>
        <v>5810</v>
      </c>
      <c r="O518" s="278">
        <f t="shared" si="1531"/>
        <v>5810</v>
      </c>
      <c r="P518" s="607">
        <f>F518+290</f>
        <v>5780</v>
      </c>
      <c r="Q518" s="278">
        <f t="shared" si="1526"/>
        <v>5780</v>
      </c>
      <c r="R518" s="607">
        <f>F518+270</f>
        <v>5760</v>
      </c>
      <c r="S518" s="278">
        <f t="shared" si="1527"/>
        <v>5760</v>
      </c>
      <c r="T518" s="607">
        <f>F518+230</f>
        <v>5720</v>
      </c>
      <c r="U518" s="278">
        <f t="shared" si="1528"/>
        <v>5720</v>
      </c>
      <c r="V518" s="607">
        <f>F518+210</f>
        <v>5700</v>
      </c>
      <c r="W518" s="278">
        <f t="shared" si="1529"/>
        <v>5700</v>
      </c>
      <c r="X518" s="1103"/>
      <c r="Y518" s="1104"/>
      <c r="Z518" s="1104"/>
      <c r="AA518" s="1105"/>
      <c r="AB518" s="189" t="s">
        <v>671</v>
      </c>
    </row>
    <row r="519" spans="1:34" ht="17.25" customHeight="1" x14ac:dyDescent="0.2">
      <c r="A519" s="101"/>
      <c r="B519" s="225"/>
      <c r="C519" s="61"/>
      <c r="D519" s="61"/>
      <c r="E519" s="61"/>
      <c r="F519" s="126"/>
      <c r="G519" s="114"/>
      <c r="H519" s="114"/>
      <c r="I519" s="114"/>
      <c r="J519" s="114"/>
      <c r="K519" s="114"/>
      <c r="L519" s="114"/>
      <c r="M519" s="114"/>
      <c r="N519" s="114"/>
      <c r="O519" s="114"/>
      <c r="P519" s="114"/>
      <c r="Q519" s="114"/>
      <c r="R519" s="114"/>
      <c r="S519" s="114"/>
      <c r="T519" s="114"/>
      <c r="U519" s="114"/>
      <c r="V519" s="114"/>
      <c r="W519" s="114"/>
      <c r="X519" s="226"/>
      <c r="Y519" s="227"/>
      <c r="Z519" s="227"/>
      <c r="AA519" s="226"/>
      <c r="AB519" s="38"/>
      <c r="AC519" s="64"/>
    </row>
    <row r="520" spans="1:34" ht="14.25" customHeight="1" x14ac:dyDescent="0.2">
      <c r="B520" s="986" t="s">
        <v>479</v>
      </c>
      <c r="C520" s="987"/>
      <c r="D520" s="987"/>
      <c r="E520" s="987"/>
      <c r="F520" s="987"/>
      <c r="G520" s="987"/>
      <c r="H520" s="987"/>
      <c r="I520" s="987"/>
      <c r="J520" s="987"/>
      <c r="K520" s="987"/>
      <c r="L520" s="987"/>
      <c r="M520" s="987"/>
      <c r="N520" s="987"/>
      <c r="O520" s="987"/>
      <c r="P520" s="987"/>
      <c r="Q520" s="987"/>
      <c r="R520" s="987"/>
      <c r="S520" s="987"/>
      <c r="T520" s="987"/>
      <c r="U520" s="987"/>
      <c r="V520" s="987"/>
      <c r="W520" s="987"/>
      <c r="AB520" s="4"/>
      <c r="AF520" s="674"/>
      <c r="AG520" s="675"/>
      <c r="AH520" s="675"/>
    </row>
    <row r="521" spans="1:34" ht="13.5" customHeight="1" x14ac:dyDescent="0.2">
      <c r="B521" s="1032" t="s">
        <v>11</v>
      </c>
      <c r="C521" s="1032" t="s">
        <v>12</v>
      </c>
      <c r="D521" s="1033"/>
      <c r="E521" s="1033"/>
      <c r="F521" s="764" t="s">
        <v>283</v>
      </c>
      <c r="G521" s="764" t="s">
        <v>13</v>
      </c>
      <c r="H521" s="657" t="s">
        <v>897</v>
      </c>
      <c r="I521" s="657"/>
      <c r="J521" s="658"/>
      <c r="K521" s="658"/>
      <c r="L521" s="658"/>
      <c r="M521" s="658"/>
      <c r="N521" s="658"/>
      <c r="O521" s="658"/>
      <c r="P521" s="658"/>
      <c r="Q521" s="658"/>
      <c r="R521" s="658"/>
      <c r="S521" s="658"/>
      <c r="T521" s="658"/>
      <c r="U521" s="658"/>
      <c r="V521" s="658"/>
      <c r="W521" s="658"/>
      <c r="X521" s="678" t="s">
        <v>14</v>
      </c>
      <c r="Y521" s="679"/>
      <c r="Z521" s="679"/>
      <c r="AA521" s="680"/>
      <c r="AB521" s="676" t="s">
        <v>15</v>
      </c>
      <c r="AF521" s="674" t="s">
        <v>3</v>
      </c>
      <c r="AG521" s="675"/>
      <c r="AH521" s="675"/>
    </row>
    <row r="522" spans="1:34" ht="9.75" customHeight="1" x14ac:dyDescent="0.2">
      <c r="B522" s="1033"/>
      <c r="C522" s="1033"/>
      <c r="D522" s="1033"/>
      <c r="E522" s="1033"/>
      <c r="F522" s="765"/>
      <c r="G522" s="765"/>
      <c r="H522" s="452"/>
      <c r="I522" s="451" t="s">
        <v>544</v>
      </c>
      <c r="J522" s="452"/>
      <c r="K522" s="451" t="s">
        <v>284</v>
      </c>
      <c r="L522" s="452"/>
      <c r="M522" s="451" t="s">
        <v>285</v>
      </c>
      <c r="N522" s="452"/>
      <c r="O522" s="451" t="s">
        <v>546</v>
      </c>
      <c r="P522" s="452"/>
      <c r="Q522" s="451" t="s">
        <v>17</v>
      </c>
      <c r="R522" s="452"/>
      <c r="S522" s="451" t="s">
        <v>18</v>
      </c>
      <c r="T522" s="452"/>
      <c r="U522" s="451" t="s">
        <v>19</v>
      </c>
      <c r="V522" s="452"/>
      <c r="W522" s="451" t="s">
        <v>547</v>
      </c>
      <c r="X522" s="681"/>
      <c r="Y522" s="682"/>
      <c r="Z522" s="682"/>
      <c r="AA522" s="683"/>
      <c r="AB522" s="677"/>
    </row>
    <row r="523" spans="1:34" ht="12" customHeight="1" x14ac:dyDescent="0.2">
      <c r="A523" s="4"/>
      <c r="B523" s="841" t="s">
        <v>734</v>
      </c>
      <c r="C523" s="660"/>
      <c r="D523" s="660"/>
      <c r="E523" s="660"/>
      <c r="F523" s="368">
        <f>8*X2</f>
        <v>8784</v>
      </c>
      <c r="G523" s="308">
        <f t="shared" ref="G523" si="1534">+F523*$X$1</f>
        <v>8784</v>
      </c>
      <c r="H523" s="99">
        <f>F523+6000</f>
        <v>14784</v>
      </c>
      <c r="I523" s="308">
        <f t="shared" ref="I523" si="1535">+H523*$X$1</f>
        <v>14784</v>
      </c>
      <c r="J523" s="99">
        <f>F523+2000</f>
        <v>10784</v>
      </c>
      <c r="K523" s="308">
        <f t="shared" ref="K523" si="1536">+J523*$X$1</f>
        <v>10784</v>
      </c>
      <c r="L523" s="99">
        <f>F523+1700</f>
        <v>10484</v>
      </c>
      <c r="M523" s="308">
        <f t="shared" ref="M523" si="1537">+L523*$X$1</f>
        <v>10484</v>
      </c>
      <c r="N523" s="99">
        <f>F523+1550</f>
        <v>10334</v>
      </c>
      <c r="O523" s="308">
        <f t="shared" ref="O523" si="1538">+N523*$X$1</f>
        <v>10334</v>
      </c>
      <c r="P523" s="99">
        <f>F523+1350</f>
        <v>10134</v>
      </c>
      <c r="Q523" s="308">
        <f t="shared" ref="Q523" si="1539">+P523*$X$1</f>
        <v>10134</v>
      </c>
      <c r="R523" s="99">
        <f>F523+1200</f>
        <v>9984</v>
      </c>
      <c r="S523" s="308">
        <f t="shared" ref="S523" si="1540">+R523*$X$1</f>
        <v>9984</v>
      </c>
      <c r="T523" s="99">
        <f>F523+1050</f>
        <v>9834</v>
      </c>
      <c r="U523" s="308">
        <f t="shared" ref="U523" si="1541">+T523*$X$1</f>
        <v>9834</v>
      </c>
      <c r="V523" s="99">
        <f>F523+900</f>
        <v>9684</v>
      </c>
      <c r="W523" s="308">
        <f t="shared" ref="W523" si="1542">+V523*$X$1</f>
        <v>9684</v>
      </c>
      <c r="X523" s="136"/>
      <c r="Y523" s="131"/>
      <c r="Z523" s="137"/>
      <c r="AA523" s="138"/>
      <c r="AB523" s="399" t="s">
        <v>738</v>
      </c>
    </row>
    <row r="524" spans="1:34" ht="12" customHeight="1" x14ac:dyDescent="0.2">
      <c r="A524" s="4"/>
      <c r="B524" s="804" t="s">
        <v>733</v>
      </c>
      <c r="C524" s="805"/>
      <c r="D524" s="805"/>
      <c r="E524" s="805"/>
      <c r="F524" s="369">
        <f>8*X2</f>
        <v>8784</v>
      </c>
      <c r="G524" s="295">
        <f t="shared" ref="G524" si="1543">+F524*$X$1</f>
        <v>8784</v>
      </c>
      <c r="H524" s="100">
        <f>F524+5000</f>
        <v>13784</v>
      </c>
      <c r="I524" s="295">
        <f t="shared" ref="I524" si="1544">+H524*$X$1</f>
        <v>13784</v>
      </c>
      <c r="J524" s="100">
        <f>F524+1200</f>
        <v>9984</v>
      </c>
      <c r="K524" s="295">
        <f t="shared" ref="K524" si="1545">+J524*$X$1</f>
        <v>9984</v>
      </c>
      <c r="L524" s="100">
        <f>F524+1000</f>
        <v>9784</v>
      </c>
      <c r="M524" s="295">
        <f t="shared" ref="M524" si="1546">+L524*$X$1</f>
        <v>9784</v>
      </c>
      <c r="N524" s="100">
        <f>F524+850</f>
        <v>9634</v>
      </c>
      <c r="O524" s="295">
        <f t="shared" ref="O524" si="1547">+N524*$X$1</f>
        <v>9634</v>
      </c>
      <c r="P524" s="100">
        <f>F524+740</f>
        <v>9524</v>
      </c>
      <c r="Q524" s="295">
        <f t="shared" ref="Q524" si="1548">+P524*$X$1</f>
        <v>9524</v>
      </c>
      <c r="R524" s="100">
        <f>F524+650</f>
        <v>9434</v>
      </c>
      <c r="S524" s="295">
        <f t="shared" ref="S524" si="1549">+R524*$X$1</f>
        <v>9434</v>
      </c>
      <c r="T524" s="100">
        <f>F524+560</f>
        <v>9344</v>
      </c>
      <c r="U524" s="295">
        <f t="shared" ref="U524" si="1550">+T524*$X$1</f>
        <v>9344</v>
      </c>
      <c r="V524" s="100">
        <f>F524+450</f>
        <v>9234</v>
      </c>
      <c r="W524" s="295">
        <f t="shared" ref="W524" si="1551">+V524*$X$1</f>
        <v>9234</v>
      </c>
      <c r="X524" s="136"/>
      <c r="Y524" s="131"/>
      <c r="Z524" s="137"/>
      <c r="AA524" s="138"/>
      <c r="AB524" s="385">
        <v>873</v>
      </c>
    </row>
    <row r="525" spans="1:34" ht="12" customHeight="1" x14ac:dyDescent="0.2">
      <c r="A525" s="4"/>
      <c r="B525" s="841" t="s">
        <v>687</v>
      </c>
      <c r="C525" s="660"/>
      <c r="D525" s="660"/>
      <c r="E525" s="660"/>
      <c r="F525" s="368">
        <f>16.5*X2</f>
        <v>18117</v>
      </c>
      <c r="G525" s="308">
        <f t="shared" ref="G525" si="1552">+F525*$X$1</f>
        <v>18117</v>
      </c>
      <c r="H525" s="100">
        <f>F525+5000</f>
        <v>23117</v>
      </c>
      <c r="I525" s="308">
        <f t="shared" ref="I525:I526" si="1553">+H525*$X$1</f>
        <v>23117</v>
      </c>
      <c r="J525" s="99">
        <f>F525+1200</f>
        <v>19317</v>
      </c>
      <c r="K525" s="308">
        <f t="shared" ref="K525:K526" si="1554">+J525*$X$1</f>
        <v>19317</v>
      </c>
      <c r="L525" s="99">
        <f>F525+1000</f>
        <v>19117</v>
      </c>
      <c r="M525" s="308">
        <f t="shared" ref="M525:M526" si="1555">+L525*$X$1</f>
        <v>19117</v>
      </c>
      <c r="N525" s="99">
        <f>F525+850</f>
        <v>18967</v>
      </c>
      <c r="O525" s="308">
        <f t="shared" ref="O525:O526" si="1556">+N525*$X$1</f>
        <v>18967</v>
      </c>
      <c r="P525" s="99">
        <f>F525+740</f>
        <v>18857</v>
      </c>
      <c r="Q525" s="308">
        <f t="shared" ref="Q525:Q526" si="1557">+P525*$X$1</f>
        <v>18857</v>
      </c>
      <c r="R525" s="99">
        <f>F525+650</f>
        <v>18767</v>
      </c>
      <c r="S525" s="308">
        <f t="shared" ref="S525:S526" si="1558">+R525*$X$1</f>
        <v>18767</v>
      </c>
      <c r="T525" s="99">
        <f>F525+560</f>
        <v>18677</v>
      </c>
      <c r="U525" s="308">
        <f t="shared" ref="U525:U526" si="1559">+T525*$X$1</f>
        <v>18677</v>
      </c>
      <c r="V525" s="99">
        <f>F525+450</f>
        <v>18567</v>
      </c>
      <c r="W525" s="308">
        <f t="shared" ref="W525:W526" si="1560">+V525*$X$1</f>
        <v>18567</v>
      </c>
      <c r="X525" s="136"/>
      <c r="Y525" s="131"/>
      <c r="Z525" s="137"/>
      <c r="AA525" s="138"/>
      <c r="AB525" s="385">
        <v>874</v>
      </c>
    </row>
    <row r="526" spans="1:34" ht="12.6" customHeight="1" x14ac:dyDescent="0.2">
      <c r="A526" s="4"/>
      <c r="B526" s="804" t="s">
        <v>654</v>
      </c>
      <c r="C526" s="805"/>
      <c r="D526" s="805"/>
      <c r="E526" s="805"/>
      <c r="F526" s="369">
        <f>9.9*X2</f>
        <v>10870.2</v>
      </c>
      <c r="G526" s="295">
        <f t="shared" ref="G526:G527" si="1561">+F526*$X$1</f>
        <v>10870.2</v>
      </c>
      <c r="H526" s="100">
        <f>F526+6000</f>
        <v>16870.2</v>
      </c>
      <c r="I526" s="295">
        <f t="shared" si="1553"/>
        <v>16870.2</v>
      </c>
      <c r="J526" s="100">
        <f>F526+2000</f>
        <v>12870.2</v>
      </c>
      <c r="K526" s="295">
        <f t="shared" si="1554"/>
        <v>12870.2</v>
      </c>
      <c r="L526" s="100">
        <f>F526+1700</f>
        <v>12570.2</v>
      </c>
      <c r="M526" s="295">
        <f t="shared" si="1555"/>
        <v>12570.2</v>
      </c>
      <c r="N526" s="100">
        <f>F526+1550</f>
        <v>12420.2</v>
      </c>
      <c r="O526" s="295">
        <f t="shared" si="1556"/>
        <v>12420.2</v>
      </c>
      <c r="P526" s="100">
        <f>F526+1350</f>
        <v>12220.2</v>
      </c>
      <c r="Q526" s="295">
        <f t="shared" si="1557"/>
        <v>12220.2</v>
      </c>
      <c r="R526" s="100">
        <f>F526+1200</f>
        <v>12070.2</v>
      </c>
      <c r="S526" s="295">
        <f t="shared" si="1558"/>
        <v>12070.2</v>
      </c>
      <c r="T526" s="100">
        <f>F526+1050</f>
        <v>11920.2</v>
      </c>
      <c r="U526" s="295">
        <f t="shared" si="1559"/>
        <v>11920.2</v>
      </c>
      <c r="V526" s="100">
        <f>F526+900</f>
        <v>11770.2</v>
      </c>
      <c r="W526" s="295">
        <f t="shared" si="1560"/>
        <v>11770.2</v>
      </c>
      <c r="X526" s="136"/>
      <c r="Y526" s="131"/>
      <c r="Z526" s="137"/>
      <c r="AA526" s="138"/>
      <c r="AB526" s="385" t="s">
        <v>664</v>
      </c>
    </row>
    <row r="527" spans="1:34" ht="12" customHeight="1" x14ac:dyDescent="0.2">
      <c r="A527" s="4"/>
      <c r="B527" s="711" t="s">
        <v>655</v>
      </c>
      <c r="C527" s="673"/>
      <c r="D527" s="673"/>
      <c r="E527" s="673"/>
      <c r="F527" s="368">
        <f>9.9*X2</f>
        <v>10870.2</v>
      </c>
      <c r="G527" s="308">
        <f t="shared" si="1561"/>
        <v>10870.2</v>
      </c>
      <c r="H527" s="100">
        <f>F527+5000</f>
        <v>15870.2</v>
      </c>
      <c r="I527" s="308">
        <f t="shared" ref="I527:I529" si="1562">+H527*$X$1</f>
        <v>15870.2</v>
      </c>
      <c r="J527" s="99">
        <f>F527+1200</f>
        <v>12070.2</v>
      </c>
      <c r="K527" s="308">
        <f t="shared" ref="K527:K529" si="1563">+J527*$X$1</f>
        <v>12070.2</v>
      </c>
      <c r="L527" s="99">
        <f>F527+1000</f>
        <v>11870.2</v>
      </c>
      <c r="M527" s="308">
        <f t="shared" ref="M527:M529" si="1564">+L527*$X$1</f>
        <v>11870.2</v>
      </c>
      <c r="N527" s="99">
        <f>F527+850</f>
        <v>11720.2</v>
      </c>
      <c r="O527" s="308">
        <f t="shared" ref="O527:O529" si="1565">+N527*$X$1</f>
        <v>11720.2</v>
      </c>
      <c r="P527" s="99">
        <f>F527+740</f>
        <v>11610.2</v>
      </c>
      <c r="Q527" s="308">
        <f t="shared" ref="Q527:Q529" si="1566">+P527*$X$1</f>
        <v>11610.2</v>
      </c>
      <c r="R527" s="99">
        <f>F527+650</f>
        <v>11520.2</v>
      </c>
      <c r="S527" s="308">
        <f t="shared" ref="S527:S529" si="1567">+R527*$X$1</f>
        <v>11520.2</v>
      </c>
      <c r="T527" s="99">
        <f>F527+560</f>
        <v>11430.2</v>
      </c>
      <c r="U527" s="308">
        <f t="shared" ref="U527:U529" si="1568">+T527*$X$1</f>
        <v>11430.2</v>
      </c>
      <c r="V527" s="99">
        <f>F527+450</f>
        <v>11320.2</v>
      </c>
      <c r="W527" s="308">
        <f t="shared" ref="W527:W529" si="1569">+V527*$X$1</f>
        <v>11320.2</v>
      </c>
      <c r="X527" s="136"/>
      <c r="Y527" s="131"/>
      <c r="Z527" s="137"/>
      <c r="AA527" s="138"/>
      <c r="AB527" s="385">
        <v>875</v>
      </c>
    </row>
    <row r="528" spans="1:34" ht="12.6" customHeight="1" x14ac:dyDescent="0.2">
      <c r="A528" s="4"/>
      <c r="B528" s="804" t="s">
        <v>735</v>
      </c>
      <c r="C528" s="805"/>
      <c r="D528" s="805"/>
      <c r="E528" s="805"/>
      <c r="F528" s="369">
        <f>18.1*X2</f>
        <v>19873.800000000003</v>
      </c>
      <c r="G528" s="295">
        <f t="shared" ref="G528" si="1570">+F528*$X$1</f>
        <v>19873.800000000003</v>
      </c>
      <c r="H528" s="100">
        <f>F528+5000</f>
        <v>24873.800000000003</v>
      </c>
      <c r="I528" s="295">
        <f t="shared" si="1562"/>
        <v>24873.800000000003</v>
      </c>
      <c r="J528" s="100">
        <f>F528+1200</f>
        <v>21073.800000000003</v>
      </c>
      <c r="K528" s="295">
        <f t="shared" si="1563"/>
        <v>21073.800000000003</v>
      </c>
      <c r="L528" s="100">
        <f>F528+1000</f>
        <v>20873.800000000003</v>
      </c>
      <c r="M528" s="295">
        <f t="shared" si="1564"/>
        <v>20873.800000000003</v>
      </c>
      <c r="N528" s="100">
        <f>F528+850</f>
        <v>20723.800000000003</v>
      </c>
      <c r="O528" s="295">
        <f t="shared" si="1565"/>
        <v>20723.800000000003</v>
      </c>
      <c r="P528" s="100">
        <f>F528+740</f>
        <v>20613.800000000003</v>
      </c>
      <c r="Q528" s="295">
        <f t="shared" si="1566"/>
        <v>20613.800000000003</v>
      </c>
      <c r="R528" s="100">
        <f>F528+650</f>
        <v>20523.800000000003</v>
      </c>
      <c r="S528" s="295">
        <f t="shared" si="1567"/>
        <v>20523.800000000003</v>
      </c>
      <c r="T528" s="100">
        <f>F528+560</f>
        <v>20433.800000000003</v>
      </c>
      <c r="U528" s="295">
        <f t="shared" si="1568"/>
        <v>20433.800000000003</v>
      </c>
      <c r="V528" s="100">
        <f>F528+450</f>
        <v>20323.800000000003</v>
      </c>
      <c r="W528" s="295">
        <f t="shared" si="1569"/>
        <v>20323.800000000003</v>
      </c>
      <c r="X528" s="136"/>
      <c r="Y528" s="131"/>
      <c r="Z528" s="137"/>
      <c r="AA528" s="138"/>
      <c r="AB528" s="385">
        <v>876</v>
      </c>
    </row>
    <row r="529" spans="1:28" ht="12.6" customHeight="1" x14ac:dyDescent="0.2">
      <c r="A529" s="4"/>
      <c r="B529" s="841" t="s">
        <v>688</v>
      </c>
      <c r="C529" s="660"/>
      <c r="D529" s="660"/>
      <c r="E529" s="660"/>
      <c r="F529" s="368">
        <f>15.37*X2</f>
        <v>16876.259999999998</v>
      </c>
      <c r="G529" s="308">
        <f t="shared" ref="G529" si="1571">+F529*$X$1</f>
        <v>16876.259999999998</v>
      </c>
      <c r="H529" s="99">
        <f>F529+6000</f>
        <v>22876.26</v>
      </c>
      <c r="I529" s="308">
        <f t="shared" si="1562"/>
        <v>22876.26</v>
      </c>
      <c r="J529" s="99">
        <f>F529+2000</f>
        <v>18876.259999999998</v>
      </c>
      <c r="K529" s="308">
        <f t="shared" si="1563"/>
        <v>18876.259999999998</v>
      </c>
      <c r="L529" s="99">
        <f>F529+1700</f>
        <v>18576.259999999998</v>
      </c>
      <c r="M529" s="308">
        <f t="shared" si="1564"/>
        <v>18576.259999999998</v>
      </c>
      <c r="N529" s="99">
        <f>F529+1550</f>
        <v>18426.259999999998</v>
      </c>
      <c r="O529" s="308">
        <f t="shared" si="1565"/>
        <v>18426.259999999998</v>
      </c>
      <c r="P529" s="99">
        <f>F529+1350</f>
        <v>18226.259999999998</v>
      </c>
      <c r="Q529" s="308">
        <f t="shared" si="1566"/>
        <v>18226.259999999998</v>
      </c>
      <c r="R529" s="99">
        <f>F529+1200</f>
        <v>18076.259999999998</v>
      </c>
      <c r="S529" s="308">
        <f t="shared" si="1567"/>
        <v>18076.259999999998</v>
      </c>
      <c r="T529" s="99">
        <f>F529+1050</f>
        <v>17926.259999999998</v>
      </c>
      <c r="U529" s="308">
        <f t="shared" si="1568"/>
        <v>17926.259999999998</v>
      </c>
      <c r="V529" s="99">
        <f>F529+900</f>
        <v>17776.259999999998</v>
      </c>
      <c r="W529" s="308">
        <f t="shared" si="1569"/>
        <v>17776.259999999998</v>
      </c>
      <c r="X529" s="136"/>
      <c r="Y529" s="131"/>
      <c r="Z529" s="137"/>
      <c r="AA529" s="138"/>
      <c r="AB529" s="385" t="s">
        <v>611</v>
      </c>
    </row>
    <row r="530" spans="1:28" ht="12.6" customHeight="1" x14ac:dyDescent="0.2">
      <c r="A530" s="4"/>
      <c r="B530" s="804" t="s">
        <v>689</v>
      </c>
      <c r="C530" s="805"/>
      <c r="D530" s="805"/>
      <c r="E530" s="805"/>
      <c r="F530" s="369">
        <f>15.37*X2</f>
        <v>16876.259999999998</v>
      </c>
      <c r="G530" s="295">
        <f t="shared" ref="G530" si="1572">+F530*$X$1</f>
        <v>16876.259999999998</v>
      </c>
      <c r="H530" s="100">
        <f>F530+5000</f>
        <v>21876.26</v>
      </c>
      <c r="I530" s="295">
        <f t="shared" ref="I530:I531" si="1573">+H530*$X$1</f>
        <v>21876.26</v>
      </c>
      <c r="J530" s="100">
        <f>F530+1200</f>
        <v>18076.259999999998</v>
      </c>
      <c r="K530" s="295">
        <f t="shared" ref="K530:K531" si="1574">+J530*$X$1</f>
        <v>18076.259999999998</v>
      </c>
      <c r="L530" s="100">
        <f>F530+1000</f>
        <v>17876.259999999998</v>
      </c>
      <c r="M530" s="295">
        <f t="shared" ref="M530:M531" si="1575">+L530*$X$1</f>
        <v>17876.259999999998</v>
      </c>
      <c r="N530" s="100">
        <f>F530+850</f>
        <v>17726.259999999998</v>
      </c>
      <c r="O530" s="295">
        <f t="shared" ref="O530:O531" si="1576">+N530*$X$1</f>
        <v>17726.259999999998</v>
      </c>
      <c r="P530" s="100">
        <f>F530+740</f>
        <v>17616.259999999998</v>
      </c>
      <c r="Q530" s="295">
        <f t="shared" ref="Q530:Q531" si="1577">+P530*$X$1</f>
        <v>17616.259999999998</v>
      </c>
      <c r="R530" s="100">
        <f>F530+650</f>
        <v>17526.259999999998</v>
      </c>
      <c r="S530" s="295">
        <f t="shared" ref="S530:S531" si="1578">+R530*$X$1</f>
        <v>17526.259999999998</v>
      </c>
      <c r="T530" s="100">
        <f>F530+560</f>
        <v>17436.259999999998</v>
      </c>
      <c r="U530" s="295">
        <f t="shared" ref="U530:U531" si="1579">+T530*$X$1</f>
        <v>17436.259999999998</v>
      </c>
      <c r="V530" s="100">
        <f>F530+450</f>
        <v>17326.259999999998</v>
      </c>
      <c r="W530" s="295">
        <f t="shared" ref="W530:W531" si="1580">+V530*$X$1</f>
        <v>17326.259999999998</v>
      </c>
      <c r="X530" s="136"/>
      <c r="Y530" s="131"/>
      <c r="Z530" s="137"/>
      <c r="AA530" s="138"/>
      <c r="AB530" s="385">
        <v>878</v>
      </c>
    </row>
    <row r="531" spans="1:28" ht="12.6" customHeight="1" x14ac:dyDescent="0.2">
      <c r="A531" s="4"/>
      <c r="B531" s="841" t="s">
        <v>656</v>
      </c>
      <c r="C531" s="660"/>
      <c r="D531" s="660"/>
      <c r="E531" s="660"/>
      <c r="F531" s="368">
        <f>22.75*X2</f>
        <v>24979.5</v>
      </c>
      <c r="G531" s="308">
        <f t="shared" ref="G531" si="1581">+F531*$X$1</f>
        <v>24979.5</v>
      </c>
      <c r="H531" s="99">
        <f>F531+6000</f>
        <v>30979.5</v>
      </c>
      <c r="I531" s="308">
        <f t="shared" si="1573"/>
        <v>30979.5</v>
      </c>
      <c r="J531" s="99">
        <f>F531+2000</f>
        <v>26979.5</v>
      </c>
      <c r="K531" s="308">
        <f t="shared" si="1574"/>
        <v>26979.5</v>
      </c>
      <c r="L531" s="99">
        <f>F531+1700</f>
        <v>26679.5</v>
      </c>
      <c r="M531" s="308">
        <f t="shared" si="1575"/>
        <v>26679.5</v>
      </c>
      <c r="N531" s="99">
        <f>F531+1550</f>
        <v>26529.5</v>
      </c>
      <c r="O531" s="308">
        <f t="shared" si="1576"/>
        <v>26529.5</v>
      </c>
      <c r="P531" s="99">
        <f>F531+1350</f>
        <v>26329.5</v>
      </c>
      <c r="Q531" s="308">
        <f t="shared" si="1577"/>
        <v>26329.5</v>
      </c>
      <c r="R531" s="99">
        <f>F531+1200</f>
        <v>26179.5</v>
      </c>
      <c r="S531" s="308">
        <f t="shared" si="1578"/>
        <v>26179.5</v>
      </c>
      <c r="T531" s="99">
        <f>F531+1050</f>
        <v>26029.5</v>
      </c>
      <c r="U531" s="308">
        <f t="shared" si="1579"/>
        <v>26029.5</v>
      </c>
      <c r="V531" s="99">
        <f>F531+900</f>
        <v>25879.5</v>
      </c>
      <c r="W531" s="308">
        <f t="shared" si="1580"/>
        <v>25879.5</v>
      </c>
      <c r="X531" s="136"/>
      <c r="Y531" s="131"/>
      <c r="Z531" s="137"/>
      <c r="AA531" s="138"/>
      <c r="AB531" s="385" t="s">
        <v>574</v>
      </c>
    </row>
    <row r="532" spans="1:28" ht="12.6" customHeight="1" x14ac:dyDescent="0.2">
      <c r="A532" s="4"/>
      <c r="B532" s="746" t="s">
        <v>657</v>
      </c>
      <c r="C532" s="943"/>
      <c r="D532" s="943"/>
      <c r="E532" s="943"/>
      <c r="F532" s="369">
        <f>22.75*X2</f>
        <v>24979.5</v>
      </c>
      <c r="G532" s="295">
        <f t="shared" ref="G532:G533" si="1582">+F532*$X$1</f>
        <v>24979.5</v>
      </c>
      <c r="H532" s="100">
        <f>F532+5000</f>
        <v>29979.5</v>
      </c>
      <c r="I532" s="295">
        <f t="shared" ref="I532:I533" si="1583">+H532*$X$1</f>
        <v>29979.5</v>
      </c>
      <c r="J532" s="100">
        <f>F532+1200</f>
        <v>26179.5</v>
      </c>
      <c r="K532" s="295">
        <f t="shared" ref="K532:K533" si="1584">+J532*$X$1</f>
        <v>26179.5</v>
      </c>
      <c r="L532" s="100">
        <f>F532+1000</f>
        <v>25979.5</v>
      </c>
      <c r="M532" s="295">
        <f t="shared" ref="M532:M533" si="1585">+L532*$X$1</f>
        <v>25979.5</v>
      </c>
      <c r="N532" s="100">
        <f>F532+850</f>
        <v>25829.5</v>
      </c>
      <c r="O532" s="295">
        <f t="shared" ref="O532:O533" si="1586">+N532*$X$1</f>
        <v>25829.5</v>
      </c>
      <c r="P532" s="100">
        <f>F532+740</f>
        <v>25719.5</v>
      </c>
      <c r="Q532" s="295">
        <f t="shared" ref="Q532:Q533" si="1587">+P532*$X$1</f>
        <v>25719.5</v>
      </c>
      <c r="R532" s="100">
        <f>F532+650</f>
        <v>25629.5</v>
      </c>
      <c r="S532" s="295">
        <f t="shared" ref="S532:S533" si="1588">+R532*$X$1</f>
        <v>25629.5</v>
      </c>
      <c r="T532" s="100">
        <f>F532+560</f>
        <v>25539.5</v>
      </c>
      <c r="U532" s="295">
        <f t="shared" ref="U532:U533" si="1589">+T532*$X$1</f>
        <v>25539.5</v>
      </c>
      <c r="V532" s="100">
        <f>F532+450</f>
        <v>25429.5</v>
      </c>
      <c r="W532" s="295">
        <f t="shared" ref="W532:W533" si="1590">+V532*$X$1</f>
        <v>25429.5</v>
      </c>
      <c r="X532" s="136"/>
      <c r="Y532" s="131"/>
      <c r="Z532" s="137"/>
      <c r="AA532" s="138"/>
      <c r="AB532" s="385">
        <v>880</v>
      </c>
    </row>
    <row r="533" spans="1:28" ht="12.6" customHeight="1" x14ac:dyDescent="0.2">
      <c r="A533" s="4"/>
      <c r="B533" s="841" t="s">
        <v>658</v>
      </c>
      <c r="C533" s="660"/>
      <c r="D533" s="660"/>
      <c r="E533" s="660"/>
      <c r="F533" s="368">
        <f>31.386*X2</f>
        <v>34461.828000000001</v>
      </c>
      <c r="G533" s="308">
        <f t="shared" si="1582"/>
        <v>34461.828000000001</v>
      </c>
      <c r="H533" s="99">
        <f>F533+6000</f>
        <v>40461.828000000001</v>
      </c>
      <c r="I533" s="308">
        <f t="shared" si="1583"/>
        <v>40461.828000000001</v>
      </c>
      <c r="J533" s="99">
        <f>F533+2000</f>
        <v>36461.828000000001</v>
      </c>
      <c r="K533" s="308">
        <f t="shared" si="1584"/>
        <v>36461.828000000001</v>
      </c>
      <c r="L533" s="99">
        <f>F533+1700</f>
        <v>36161.828000000001</v>
      </c>
      <c r="M533" s="308">
        <f t="shared" si="1585"/>
        <v>36161.828000000001</v>
      </c>
      <c r="N533" s="99">
        <f>F533+1550</f>
        <v>36011.828000000001</v>
      </c>
      <c r="O533" s="308">
        <f t="shared" si="1586"/>
        <v>36011.828000000001</v>
      </c>
      <c r="P533" s="99">
        <f>F533+1350</f>
        <v>35811.828000000001</v>
      </c>
      <c r="Q533" s="308">
        <f t="shared" si="1587"/>
        <v>35811.828000000001</v>
      </c>
      <c r="R533" s="99">
        <f>F533+1200</f>
        <v>35661.828000000001</v>
      </c>
      <c r="S533" s="308">
        <f t="shared" si="1588"/>
        <v>35661.828000000001</v>
      </c>
      <c r="T533" s="99">
        <f>F533+1050</f>
        <v>35511.828000000001</v>
      </c>
      <c r="U533" s="308">
        <f t="shared" si="1589"/>
        <v>35511.828000000001</v>
      </c>
      <c r="V533" s="99">
        <f>F533+900</f>
        <v>35361.828000000001</v>
      </c>
      <c r="W533" s="308">
        <f t="shared" si="1590"/>
        <v>35361.828000000001</v>
      </c>
      <c r="X533" s="136"/>
      <c r="Y533" s="131"/>
      <c r="Z533" s="137"/>
      <c r="AA533" s="138"/>
      <c r="AB533" s="385" t="s">
        <v>575</v>
      </c>
    </row>
    <row r="534" spans="1:28" ht="12.6" customHeight="1" x14ac:dyDescent="0.2">
      <c r="A534" s="4"/>
      <c r="B534" s="746" t="s">
        <v>659</v>
      </c>
      <c r="C534" s="691"/>
      <c r="D534" s="691"/>
      <c r="E534" s="691"/>
      <c r="F534" s="369">
        <f>31.386*X2</f>
        <v>34461.828000000001</v>
      </c>
      <c r="G534" s="295">
        <f t="shared" ref="G534:G535" si="1591">+F534*$X$1</f>
        <v>34461.828000000001</v>
      </c>
      <c r="H534" s="100">
        <f>F534+5000</f>
        <v>39461.828000000001</v>
      </c>
      <c r="I534" s="295">
        <f t="shared" ref="I534:I537" si="1592">+H534*$X$1</f>
        <v>39461.828000000001</v>
      </c>
      <c r="J534" s="100">
        <f>F534+1200</f>
        <v>35661.828000000001</v>
      </c>
      <c r="K534" s="295">
        <f t="shared" ref="K534:K537" si="1593">+J534*$X$1</f>
        <v>35661.828000000001</v>
      </c>
      <c r="L534" s="100">
        <f>F534+1000</f>
        <v>35461.828000000001</v>
      </c>
      <c r="M534" s="295">
        <f t="shared" ref="M534:M537" si="1594">+L534*$X$1</f>
        <v>35461.828000000001</v>
      </c>
      <c r="N534" s="100">
        <f>F534+850</f>
        <v>35311.828000000001</v>
      </c>
      <c r="O534" s="295">
        <f t="shared" ref="O534:O537" si="1595">+N534*$X$1</f>
        <v>35311.828000000001</v>
      </c>
      <c r="P534" s="100">
        <f>F534+740</f>
        <v>35201.828000000001</v>
      </c>
      <c r="Q534" s="295">
        <f t="shared" ref="Q534:Q537" si="1596">+P534*$X$1</f>
        <v>35201.828000000001</v>
      </c>
      <c r="R534" s="100">
        <f>F534+650</f>
        <v>35111.828000000001</v>
      </c>
      <c r="S534" s="295">
        <f t="shared" ref="S534:S537" si="1597">+R534*$X$1</f>
        <v>35111.828000000001</v>
      </c>
      <c r="T534" s="100">
        <f>F534+560</f>
        <v>35021.828000000001</v>
      </c>
      <c r="U534" s="295">
        <f t="shared" ref="U534:U537" si="1598">+T534*$X$1</f>
        <v>35021.828000000001</v>
      </c>
      <c r="V534" s="100">
        <f>F534+450</f>
        <v>34911.828000000001</v>
      </c>
      <c r="W534" s="295">
        <f t="shared" ref="W534:W537" si="1599">+V534*$X$1</f>
        <v>34911.828000000001</v>
      </c>
      <c r="X534" s="136"/>
      <c r="Y534" s="131"/>
      <c r="Z534" s="137"/>
      <c r="AA534" s="138"/>
      <c r="AB534" s="385">
        <v>881</v>
      </c>
    </row>
    <row r="535" spans="1:28" ht="12.6" customHeight="1" x14ac:dyDescent="0.2">
      <c r="A535" s="4"/>
      <c r="B535" s="841" t="s">
        <v>660</v>
      </c>
      <c r="C535" s="660"/>
      <c r="D535" s="660"/>
      <c r="E535" s="660"/>
      <c r="F535" s="368">
        <f>19.4*X2</f>
        <v>21301.199999999997</v>
      </c>
      <c r="G535" s="308">
        <f t="shared" si="1591"/>
        <v>21301.199999999997</v>
      </c>
      <c r="H535" s="99">
        <f>F535+5000</f>
        <v>26301.199999999997</v>
      </c>
      <c r="I535" s="308">
        <f t="shared" si="1592"/>
        <v>26301.199999999997</v>
      </c>
      <c r="J535" s="99">
        <f>F535+1200</f>
        <v>22501.199999999997</v>
      </c>
      <c r="K535" s="308">
        <f t="shared" si="1593"/>
        <v>22501.199999999997</v>
      </c>
      <c r="L535" s="99">
        <f>F535+1000</f>
        <v>22301.199999999997</v>
      </c>
      <c r="M535" s="308">
        <f t="shared" si="1594"/>
        <v>22301.199999999997</v>
      </c>
      <c r="N535" s="99">
        <f>F535+850</f>
        <v>22151.199999999997</v>
      </c>
      <c r="O535" s="308">
        <f t="shared" si="1595"/>
        <v>22151.199999999997</v>
      </c>
      <c r="P535" s="99">
        <f>F535+740</f>
        <v>22041.199999999997</v>
      </c>
      <c r="Q535" s="308">
        <f t="shared" si="1596"/>
        <v>22041.199999999997</v>
      </c>
      <c r="R535" s="99">
        <f>F535+650</f>
        <v>21951.199999999997</v>
      </c>
      <c r="S535" s="308">
        <f t="shared" si="1597"/>
        <v>21951.199999999997</v>
      </c>
      <c r="T535" s="99">
        <f>F535+560</f>
        <v>21861.199999999997</v>
      </c>
      <c r="U535" s="308">
        <f t="shared" si="1598"/>
        <v>21861.199999999997</v>
      </c>
      <c r="V535" s="99">
        <f>F535+450</f>
        <v>21751.199999999997</v>
      </c>
      <c r="W535" s="308">
        <f t="shared" si="1599"/>
        <v>21751.199999999997</v>
      </c>
      <c r="X535" s="136"/>
      <c r="Y535" s="131"/>
      <c r="Z535" s="137"/>
      <c r="AA535" s="138"/>
      <c r="AB535" s="385">
        <v>882</v>
      </c>
    </row>
    <row r="536" spans="1:28" ht="12.6" customHeight="1" x14ac:dyDescent="0.2">
      <c r="A536" s="4"/>
      <c r="B536" s="804" t="s">
        <v>447</v>
      </c>
      <c r="C536" s="805"/>
      <c r="D536" s="805"/>
      <c r="E536" s="805"/>
      <c r="F536" s="369">
        <f>24*X2</f>
        <v>26352</v>
      </c>
      <c r="G536" s="295">
        <f t="shared" ref="G536:G538" si="1600">+F536*$X$1</f>
        <v>26352</v>
      </c>
      <c r="H536" s="100">
        <f>F536+5000</f>
        <v>31352</v>
      </c>
      <c r="I536" s="295">
        <f t="shared" si="1592"/>
        <v>31352</v>
      </c>
      <c r="J536" s="100">
        <f>F536+1200</f>
        <v>27552</v>
      </c>
      <c r="K536" s="295">
        <f t="shared" si="1593"/>
        <v>27552</v>
      </c>
      <c r="L536" s="100">
        <f>F536+1000</f>
        <v>27352</v>
      </c>
      <c r="M536" s="295">
        <f t="shared" si="1594"/>
        <v>27352</v>
      </c>
      <c r="N536" s="100">
        <f>F536+850</f>
        <v>27202</v>
      </c>
      <c r="O536" s="295">
        <f t="shared" si="1595"/>
        <v>27202</v>
      </c>
      <c r="P536" s="100">
        <f>F536+740</f>
        <v>27092</v>
      </c>
      <c r="Q536" s="295">
        <f t="shared" si="1596"/>
        <v>27092</v>
      </c>
      <c r="R536" s="100">
        <f>F536+650</f>
        <v>27002</v>
      </c>
      <c r="S536" s="295">
        <f t="shared" si="1597"/>
        <v>27002</v>
      </c>
      <c r="T536" s="100">
        <f>F536+560</f>
        <v>26912</v>
      </c>
      <c r="U536" s="295">
        <f t="shared" si="1598"/>
        <v>26912</v>
      </c>
      <c r="V536" s="100">
        <f>F536+450</f>
        <v>26802</v>
      </c>
      <c r="W536" s="295">
        <f t="shared" si="1599"/>
        <v>26802</v>
      </c>
      <c r="X536" s="136"/>
      <c r="Y536" s="131"/>
      <c r="Z536" s="137"/>
      <c r="AA536" s="138"/>
      <c r="AB536" s="385">
        <v>883</v>
      </c>
    </row>
    <row r="537" spans="1:28" ht="12.6" customHeight="1" x14ac:dyDescent="0.2">
      <c r="A537" s="4"/>
      <c r="B537" s="739" t="s">
        <v>745</v>
      </c>
      <c r="C537" s="772"/>
      <c r="D537" s="772"/>
      <c r="E537" s="773"/>
      <c r="F537" s="368">
        <f>16.15*X2</f>
        <v>17732.699999999997</v>
      </c>
      <c r="G537" s="308">
        <f t="shared" si="1600"/>
        <v>17732.699999999997</v>
      </c>
      <c r="H537" s="99">
        <f>F537+6000</f>
        <v>23732.699999999997</v>
      </c>
      <c r="I537" s="308">
        <f t="shared" si="1592"/>
        <v>23732.699999999997</v>
      </c>
      <c r="J537" s="99">
        <f>F537+2000</f>
        <v>19732.699999999997</v>
      </c>
      <c r="K537" s="308">
        <f t="shared" si="1593"/>
        <v>19732.699999999997</v>
      </c>
      <c r="L537" s="99">
        <f>F537+1700</f>
        <v>19432.699999999997</v>
      </c>
      <c r="M537" s="308">
        <f t="shared" si="1594"/>
        <v>19432.699999999997</v>
      </c>
      <c r="N537" s="99">
        <f>F537+1550</f>
        <v>19282.699999999997</v>
      </c>
      <c r="O537" s="308">
        <f t="shared" si="1595"/>
        <v>19282.699999999997</v>
      </c>
      <c r="P537" s="99">
        <f>F537+1350</f>
        <v>19082.699999999997</v>
      </c>
      <c r="Q537" s="308">
        <f t="shared" si="1596"/>
        <v>19082.699999999997</v>
      </c>
      <c r="R537" s="99">
        <f>F537+1200</f>
        <v>18932.699999999997</v>
      </c>
      <c r="S537" s="308">
        <f t="shared" si="1597"/>
        <v>18932.699999999997</v>
      </c>
      <c r="T537" s="99">
        <f>F537+1050</f>
        <v>18782.699999999997</v>
      </c>
      <c r="U537" s="308">
        <f t="shared" si="1598"/>
        <v>18782.699999999997</v>
      </c>
      <c r="V537" s="99">
        <f>F537+900</f>
        <v>18632.699999999997</v>
      </c>
      <c r="W537" s="308">
        <f t="shared" si="1599"/>
        <v>18632.699999999997</v>
      </c>
      <c r="X537" s="136"/>
      <c r="Y537" s="131"/>
      <c r="Z537" s="137"/>
      <c r="AA537" s="138"/>
      <c r="AB537" s="385" t="s">
        <v>744</v>
      </c>
    </row>
    <row r="538" spans="1:28" ht="12.6" customHeight="1" x14ac:dyDescent="0.2">
      <c r="A538" s="4"/>
      <c r="B538" s="988" t="s">
        <v>746</v>
      </c>
      <c r="C538" s="769"/>
      <c r="D538" s="769"/>
      <c r="E538" s="770"/>
      <c r="F538" s="369">
        <f>16.15*X2</f>
        <v>17732.699999999997</v>
      </c>
      <c r="G538" s="295">
        <f t="shared" si="1600"/>
        <v>17732.699999999997</v>
      </c>
      <c r="H538" s="100">
        <f>F538+5000</f>
        <v>22732.699999999997</v>
      </c>
      <c r="I538" s="295">
        <f t="shared" ref="I538:I539" si="1601">+H538*$X$1</f>
        <v>22732.699999999997</v>
      </c>
      <c r="J538" s="100">
        <f>F538+1200</f>
        <v>18932.699999999997</v>
      </c>
      <c r="K538" s="295">
        <f t="shared" ref="K538:K539" si="1602">+J538*$X$1</f>
        <v>18932.699999999997</v>
      </c>
      <c r="L538" s="100">
        <f>F538+1000</f>
        <v>18732.699999999997</v>
      </c>
      <c r="M538" s="295">
        <f t="shared" ref="M538:M539" si="1603">+L538*$X$1</f>
        <v>18732.699999999997</v>
      </c>
      <c r="N538" s="100">
        <f>F538+850</f>
        <v>18582.699999999997</v>
      </c>
      <c r="O538" s="295">
        <f t="shared" ref="O538:O539" si="1604">+N538*$X$1</f>
        <v>18582.699999999997</v>
      </c>
      <c r="P538" s="100">
        <f>F538+740</f>
        <v>18472.699999999997</v>
      </c>
      <c r="Q538" s="295">
        <f t="shared" ref="Q538:Q539" si="1605">+P538*$X$1</f>
        <v>18472.699999999997</v>
      </c>
      <c r="R538" s="100">
        <f>F538+650</f>
        <v>18382.699999999997</v>
      </c>
      <c r="S538" s="295">
        <f t="shared" ref="S538:S539" si="1606">+R538*$X$1</f>
        <v>18382.699999999997</v>
      </c>
      <c r="T538" s="100">
        <f>F538+560</f>
        <v>18292.699999999997</v>
      </c>
      <c r="U538" s="295">
        <f t="shared" ref="U538:U539" si="1607">+T538*$X$1</f>
        <v>18292.699999999997</v>
      </c>
      <c r="V538" s="100">
        <f>F538+450</f>
        <v>18182.699999999997</v>
      </c>
      <c r="W538" s="295">
        <f t="shared" ref="W538:W539" si="1608">+V538*$X$1</f>
        <v>18182.699999999997</v>
      </c>
      <c r="X538" s="136"/>
      <c r="Y538" s="131"/>
      <c r="Z538" s="137"/>
      <c r="AA538" s="138"/>
      <c r="AB538" s="385">
        <v>886</v>
      </c>
    </row>
    <row r="539" spans="1:28" ht="12.6" customHeight="1" x14ac:dyDescent="0.2">
      <c r="A539" s="4"/>
      <c r="B539" s="841" t="s">
        <v>691</v>
      </c>
      <c r="C539" s="660"/>
      <c r="D539" s="660"/>
      <c r="E539" s="660"/>
      <c r="F539" s="365">
        <f>22.33*X2</f>
        <v>24518.339999999997</v>
      </c>
      <c r="G539" s="279">
        <f t="shared" ref="G539" si="1609">+F539*$X$1</f>
        <v>24518.339999999997</v>
      </c>
      <c r="H539" s="99">
        <f>F539+6000</f>
        <v>30518.339999999997</v>
      </c>
      <c r="I539" s="308">
        <f t="shared" si="1601"/>
        <v>30518.339999999997</v>
      </c>
      <c r="J539" s="99">
        <f>F539+2000</f>
        <v>26518.339999999997</v>
      </c>
      <c r="K539" s="308">
        <f t="shared" si="1602"/>
        <v>26518.339999999997</v>
      </c>
      <c r="L539" s="99">
        <f>F539+1700</f>
        <v>26218.339999999997</v>
      </c>
      <c r="M539" s="308">
        <f t="shared" si="1603"/>
        <v>26218.339999999997</v>
      </c>
      <c r="N539" s="99">
        <f>F539+1550</f>
        <v>26068.339999999997</v>
      </c>
      <c r="O539" s="308">
        <f t="shared" si="1604"/>
        <v>26068.339999999997</v>
      </c>
      <c r="P539" s="99">
        <f>F539+1350</f>
        <v>25868.339999999997</v>
      </c>
      <c r="Q539" s="308">
        <f t="shared" si="1605"/>
        <v>25868.339999999997</v>
      </c>
      <c r="R539" s="99">
        <f>F539+1200</f>
        <v>25718.339999999997</v>
      </c>
      <c r="S539" s="308">
        <f t="shared" si="1606"/>
        <v>25718.339999999997</v>
      </c>
      <c r="T539" s="99">
        <f>F539+1050</f>
        <v>25568.339999999997</v>
      </c>
      <c r="U539" s="308">
        <f t="shared" si="1607"/>
        <v>25568.339999999997</v>
      </c>
      <c r="V539" s="99">
        <f>F539+900</f>
        <v>25418.339999999997</v>
      </c>
      <c r="W539" s="308">
        <f t="shared" si="1608"/>
        <v>25418.339999999997</v>
      </c>
      <c r="X539" s="136"/>
      <c r="Y539" s="131"/>
      <c r="Z539" s="137"/>
      <c r="AA539" s="138"/>
      <c r="AB539" s="385" t="s">
        <v>674</v>
      </c>
    </row>
    <row r="540" spans="1:28" ht="12.6" customHeight="1" x14ac:dyDescent="0.2">
      <c r="A540" s="4"/>
      <c r="B540" s="804" t="s">
        <v>690</v>
      </c>
      <c r="C540" s="805"/>
      <c r="D540" s="805"/>
      <c r="E540" s="805"/>
      <c r="F540" s="364">
        <f>22.33*X2</f>
        <v>24518.339999999997</v>
      </c>
      <c r="G540" s="278">
        <f t="shared" ref="G540" si="1610">+F540*$X$1</f>
        <v>24518.339999999997</v>
      </c>
      <c r="H540" s="100">
        <f>F540+5000</f>
        <v>29518.339999999997</v>
      </c>
      <c r="I540" s="295">
        <f t="shared" ref="I540:I542" si="1611">+H540*$X$1</f>
        <v>29518.339999999997</v>
      </c>
      <c r="J540" s="100">
        <f>F540+1200</f>
        <v>25718.339999999997</v>
      </c>
      <c r="K540" s="295">
        <f t="shared" ref="K540:K542" si="1612">+J540*$X$1</f>
        <v>25718.339999999997</v>
      </c>
      <c r="L540" s="100">
        <f>F540+1000</f>
        <v>25518.339999999997</v>
      </c>
      <c r="M540" s="295">
        <f t="shared" ref="M540:M542" si="1613">+L540*$X$1</f>
        <v>25518.339999999997</v>
      </c>
      <c r="N540" s="100">
        <f>F540+850</f>
        <v>25368.339999999997</v>
      </c>
      <c r="O540" s="295">
        <f t="shared" ref="O540:O542" si="1614">+N540*$X$1</f>
        <v>25368.339999999997</v>
      </c>
      <c r="P540" s="100">
        <f>F540+740</f>
        <v>25258.339999999997</v>
      </c>
      <c r="Q540" s="295">
        <f t="shared" ref="Q540:Q542" si="1615">+P540*$X$1</f>
        <v>25258.339999999997</v>
      </c>
      <c r="R540" s="100">
        <f>F540+650</f>
        <v>25168.339999999997</v>
      </c>
      <c r="S540" s="295">
        <f t="shared" ref="S540:S542" si="1616">+R540*$X$1</f>
        <v>25168.339999999997</v>
      </c>
      <c r="T540" s="100">
        <f>F540+560</f>
        <v>25078.339999999997</v>
      </c>
      <c r="U540" s="295">
        <f t="shared" ref="U540:U542" si="1617">+T540*$X$1</f>
        <v>25078.339999999997</v>
      </c>
      <c r="V540" s="100">
        <f>F540+450</f>
        <v>24968.339999999997</v>
      </c>
      <c r="W540" s="295">
        <f t="shared" ref="W540:W542" si="1618">+V540*$X$1</f>
        <v>24968.339999999997</v>
      </c>
      <c r="X540" s="136"/>
      <c r="Y540" s="131"/>
      <c r="Z540" s="137"/>
      <c r="AA540" s="138"/>
      <c r="AB540" s="385">
        <v>887</v>
      </c>
    </row>
    <row r="541" spans="1:28" ht="12.6" customHeight="1" x14ac:dyDescent="0.2">
      <c r="A541" s="4"/>
      <c r="B541" s="711" t="s">
        <v>610</v>
      </c>
      <c r="C541" s="673"/>
      <c r="D541" s="673"/>
      <c r="E541" s="673"/>
      <c r="F541" s="365">
        <f>14.7*X2</f>
        <v>16140.599999999999</v>
      </c>
      <c r="G541" s="279">
        <f t="shared" ref="G541" si="1619">+F541*$X$1</f>
        <v>16140.599999999999</v>
      </c>
      <c r="H541" s="99">
        <f>F541+5000</f>
        <v>21140.6</v>
      </c>
      <c r="I541" s="308">
        <f t="shared" si="1611"/>
        <v>21140.6</v>
      </c>
      <c r="J541" s="99">
        <f>F541+1200</f>
        <v>17340.599999999999</v>
      </c>
      <c r="K541" s="308">
        <f t="shared" si="1612"/>
        <v>17340.599999999999</v>
      </c>
      <c r="L541" s="99">
        <f>F541+1000</f>
        <v>17140.599999999999</v>
      </c>
      <c r="M541" s="308">
        <f t="shared" si="1613"/>
        <v>17140.599999999999</v>
      </c>
      <c r="N541" s="99">
        <f>F541+850</f>
        <v>16990.599999999999</v>
      </c>
      <c r="O541" s="308">
        <f t="shared" si="1614"/>
        <v>16990.599999999999</v>
      </c>
      <c r="P541" s="99">
        <f>F541+740</f>
        <v>16880.599999999999</v>
      </c>
      <c r="Q541" s="308">
        <f t="shared" si="1615"/>
        <v>16880.599999999999</v>
      </c>
      <c r="R541" s="99">
        <f>F541+650</f>
        <v>16790.599999999999</v>
      </c>
      <c r="S541" s="308">
        <f t="shared" si="1616"/>
        <v>16790.599999999999</v>
      </c>
      <c r="T541" s="99">
        <f>F541+560</f>
        <v>16700.599999999999</v>
      </c>
      <c r="U541" s="308">
        <f t="shared" si="1617"/>
        <v>16700.599999999999</v>
      </c>
      <c r="V541" s="99">
        <f>F541+450</f>
        <v>16590.599999999999</v>
      </c>
      <c r="W541" s="308">
        <f t="shared" si="1618"/>
        <v>16590.599999999999</v>
      </c>
      <c r="X541" s="136"/>
      <c r="Y541" s="131"/>
      <c r="Z541" s="137"/>
      <c r="AA541" s="138"/>
      <c r="AB541" s="385">
        <v>888</v>
      </c>
    </row>
    <row r="542" spans="1:28" ht="12.6" customHeight="1" x14ac:dyDescent="0.2">
      <c r="A542" s="4"/>
      <c r="B542" s="746" t="s">
        <v>652</v>
      </c>
      <c r="C542" s="691"/>
      <c r="D542" s="691"/>
      <c r="E542" s="691"/>
      <c r="F542" s="364">
        <f>15.8*X2</f>
        <v>17348.400000000001</v>
      </c>
      <c r="G542" s="278">
        <f t="shared" ref="G542:G546" si="1620">+F542*$X$1</f>
        <v>17348.400000000001</v>
      </c>
      <c r="H542" s="100">
        <f>F542+6000</f>
        <v>23348.400000000001</v>
      </c>
      <c r="I542" s="295">
        <f t="shared" si="1611"/>
        <v>23348.400000000001</v>
      </c>
      <c r="J542" s="100">
        <f>F542+2000</f>
        <v>19348.400000000001</v>
      </c>
      <c r="K542" s="295">
        <f t="shared" si="1612"/>
        <v>19348.400000000001</v>
      </c>
      <c r="L542" s="100">
        <f>F542+1700</f>
        <v>19048.400000000001</v>
      </c>
      <c r="M542" s="295">
        <f t="shared" si="1613"/>
        <v>19048.400000000001</v>
      </c>
      <c r="N542" s="100">
        <f>F542+1550</f>
        <v>18898.400000000001</v>
      </c>
      <c r="O542" s="295">
        <f t="shared" si="1614"/>
        <v>18898.400000000001</v>
      </c>
      <c r="P542" s="100">
        <f>F542+1350</f>
        <v>18698.400000000001</v>
      </c>
      <c r="Q542" s="295">
        <f t="shared" si="1615"/>
        <v>18698.400000000001</v>
      </c>
      <c r="R542" s="100">
        <f>F542+1200</f>
        <v>18548.400000000001</v>
      </c>
      <c r="S542" s="295">
        <f t="shared" si="1616"/>
        <v>18548.400000000001</v>
      </c>
      <c r="T542" s="100">
        <f>F542+1050</f>
        <v>18398.400000000001</v>
      </c>
      <c r="U542" s="295">
        <f t="shared" si="1617"/>
        <v>18398.400000000001</v>
      </c>
      <c r="V542" s="100">
        <f>F542+900</f>
        <v>18248.400000000001</v>
      </c>
      <c r="W542" s="295">
        <f t="shared" si="1618"/>
        <v>18248.400000000001</v>
      </c>
      <c r="X542" s="136"/>
      <c r="Y542" s="131"/>
      <c r="Z542" s="137"/>
      <c r="AA542" s="138"/>
      <c r="AB542" s="385">
        <v>896</v>
      </c>
    </row>
    <row r="543" spans="1:28" ht="12.6" customHeight="1" x14ac:dyDescent="0.2">
      <c r="A543" s="4"/>
      <c r="B543" s="711" t="s">
        <v>609</v>
      </c>
      <c r="C543" s="673"/>
      <c r="D543" s="673"/>
      <c r="E543" s="673"/>
      <c r="F543" s="365">
        <f>15.8*X2</f>
        <v>17348.400000000001</v>
      </c>
      <c r="G543" s="279">
        <f t="shared" si="1620"/>
        <v>17348.400000000001</v>
      </c>
      <c r="H543" s="99">
        <f>F543+5000</f>
        <v>22348.400000000001</v>
      </c>
      <c r="I543" s="308">
        <f t="shared" ref="I543:I545" si="1621">+H543*$X$1</f>
        <v>22348.400000000001</v>
      </c>
      <c r="J543" s="99">
        <f>F543+1200</f>
        <v>18548.400000000001</v>
      </c>
      <c r="K543" s="308">
        <f t="shared" ref="K543:K545" si="1622">+J543*$X$1</f>
        <v>18548.400000000001</v>
      </c>
      <c r="L543" s="99">
        <f>F543+1000</f>
        <v>18348.400000000001</v>
      </c>
      <c r="M543" s="308">
        <f t="shared" ref="M543:M545" si="1623">+L543*$X$1</f>
        <v>18348.400000000001</v>
      </c>
      <c r="N543" s="99">
        <f>F543+850</f>
        <v>18198.400000000001</v>
      </c>
      <c r="O543" s="308">
        <f t="shared" ref="O543:O545" si="1624">+N543*$X$1</f>
        <v>18198.400000000001</v>
      </c>
      <c r="P543" s="99">
        <f>F543+740</f>
        <v>18088.400000000001</v>
      </c>
      <c r="Q543" s="308">
        <f t="shared" ref="Q543:Q545" si="1625">+P543*$X$1</f>
        <v>18088.400000000001</v>
      </c>
      <c r="R543" s="99">
        <f>F543+650</f>
        <v>17998.400000000001</v>
      </c>
      <c r="S543" s="308">
        <f t="shared" ref="S543:S545" si="1626">+R543*$X$1</f>
        <v>17998.400000000001</v>
      </c>
      <c r="T543" s="99">
        <f>F543+560</f>
        <v>17908.400000000001</v>
      </c>
      <c r="U543" s="308">
        <f t="shared" ref="U543:U545" si="1627">+T543*$X$1</f>
        <v>17908.400000000001</v>
      </c>
      <c r="V543" s="99">
        <f>F543+450</f>
        <v>17798.400000000001</v>
      </c>
      <c r="W543" s="308">
        <f t="shared" ref="W543:W545" si="1628">+V543*$X$1</f>
        <v>17798.400000000001</v>
      </c>
      <c r="X543" s="136"/>
      <c r="Y543" s="131"/>
      <c r="Z543" s="137"/>
      <c r="AA543" s="138"/>
      <c r="AB543" s="385">
        <v>896</v>
      </c>
    </row>
    <row r="544" spans="1:28" ht="12.6" customHeight="1" x14ac:dyDescent="0.2">
      <c r="A544" s="4"/>
      <c r="B544" s="746" t="s">
        <v>894</v>
      </c>
      <c r="C544" s="943"/>
      <c r="D544" s="943"/>
      <c r="E544" s="943"/>
      <c r="F544" s="319">
        <v>20475</v>
      </c>
      <c r="G544" s="278">
        <f t="shared" ref="G544" si="1629">+F544*$X$1</f>
        <v>20475</v>
      </c>
      <c r="H544" s="100">
        <f>F544+6000</f>
        <v>26475</v>
      </c>
      <c r="I544" s="295">
        <f t="shared" si="1621"/>
        <v>26475</v>
      </c>
      <c r="J544" s="100">
        <f>F544+2000</f>
        <v>22475</v>
      </c>
      <c r="K544" s="295">
        <f t="shared" si="1622"/>
        <v>22475</v>
      </c>
      <c r="L544" s="100">
        <f>F544+1700</f>
        <v>22175</v>
      </c>
      <c r="M544" s="295">
        <f t="shared" si="1623"/>
        <v>22175</v>
      </c>
      <c r="N544" s="100">
        <f>F544+1550</f>
        <v>22025</v>
      </c>
      <c r="O544" s="295">
        <f t="shared" si="1624"/>
        <v>22025</v>
      </c>
      <c r="P544" s="100">
        <f>F544+1350</f>
        <v>21825</v>
      </c>
      <c r="Q544" s="295">
        <f t="shared" si="1625"/>
        <v>21825</v>
      </c>
      <c r="R544" s="100">
        <f>F544+1200</f>
        <v>21675</v>
      </c>
      <c r="S544" s="295">
        <f t="shared" si="1626"/>
        <v>21675</v>
      </c>
      <c r="T544" s="100">
        <f>F544+1050</f>
        <v>21525</v>
      </c>
      <c r="U544" s="295">
        <f t="shared" si="1627"/>
        <v>21525</v>
      </c>
      <c r="V544" s="100">
        <f>F544+900</f>
        <v>21375</v>
      </c>
      <c r="W544" s="295">
        <f t="shared" si="1628"/>
        <v>21375</v>
      </c>
      <c r="X544" s="136"/>
      <c r="Y544" s="131"/>
      <c r="Z544" s="137"/>
      <c r="AA544" s="138"/>
      <c r="AB544" s="385"/>
    </row>
    <row r="545" spans="1:34" ht="12.6" customHeight="1" x14ac:dyDescent="0.2">
      <c r="A545" s="4"/>
      <c r="B545" s="711" t="s">
        <v>612</v>
      </c>
      <c r="C545" s="712"/>
      <c r="D545" s="712"/>
      <c r="E545" s="712"/>
      <c r="F545" s="365">
        <f>19*X2</f>
        <v>20862</v>
      </c>
      <c r="G545" s="279">
        <f t="shared" si="1620"/>
        <v>20862</v>
      </c>
      <c r="H545" s="99">
        <f>F545+6000</f>
        <v>26862</v>
      </c>
      <c r="I545" s="308">
        <f t="shared" si="1621"/>
        <v>26862</v>
      </c>
      <c r="J545" s="99">
        <f>F545+2000</f>
        <v>22862</v>
      </c>
      <c r="K545" s="308">
        <f t="shared" si="1622"/>
        <v>22862</v>
      </c>
      <c r="L545" s="99">
        <f>F545+1700</f>
        <v>22562</v>
      </c>
      <c r="M545" s="308">
        <f t="shared" si="1623"/>
        <v>22562</v>
      </c>
      <c r="N545" s="99">
        <f>F545+1550</f>
        <v>22412</v>
      </c>
      <c r="O545" s="308">
        <f t="shared" si="1624"/>
        <v>22412</v>
      </c>
      <c r="P545" s="99">
        <f>F545+1350</f>
        <v>22212</v>
      </c>
      <c r="Q545" s="308">
        <f t="shared" si="1625"/>
        <v>22212</v>
      </c>
      <c r="R545" s="99">
        <f>F545+1200</f>
        <v>22062</v>
      </c>
      <c r="S545" s="308">
        <f t="shared" si="1626"/>
        <v>22062</v>
      </c>
      <c r="T545" s="99">
        <f>F545+1050</f>
        <v>21912</v>
      </c>
      <c r="U545" s="308">
        <f t="shared" si="1627"/>
        <v>21912</v>
      </c>
      <c r="V545" s="99">
        <f>F545+900</f>
        <v>21762</v>
      </c>
      <c r="W545" s="308">
        <f t="shared" si="1628"/>
        <v>21762</v>
      </c>
      <c r="X545" s="136"/>
      <c r="Y545" s="131"/>
      <c r="Z545" s="137"/>
      <c r="AA545" s="138"/>
      <c r="AB545" s="385">
        <v>899</v>
      </c>
    </row>
    <row r="546" spans="1:34" ht="12.6" customHeight="1" x14ac:dyDescent="0.2">
      <c r="A546" s="4"/>
      <c r="B546" s="746" t="s">
        <v>620</v>
      </c>
      <c r="C546" s="943"/>
      <c r="D546" s="943"/>
      <c r="E546" s="943"/>
      <c r="F546" s="364">
        <f>19*X2</f>
        <v>20862</v>
      </c>
      <c r="G546" s="278">
        <f t="shared" si="1620"/>
        <v>20862</v>
      </c>
      <c r="H546" s="100">
        <f>F546+5000</f>
        <v>25862</v>
      </c>
      <c r="I546" s="295">
        <f t="shared" ref="I546:I548" si="1630">+H546*$X$1</f>
        <v>25862</v>
      </c>
      <c r="J546" s="100">
        <f>F546+1200</f>
        <v>22062</v>
      </c>
      <c r="K546" s="295">
        <f t="shared" ref="K546:K550" si="1631">+J546*$X$1</f>
        <v>22062</v>
      </c>
      <c r="L546" s="100">
        <f>F546+1000</f>
        <v>21862</v>
      </c>
      <c r="M546" s="295">
        <f t="shared" ref="M546:M550" si="1632">+L546*$X$1</f>
        <v>21862</v>
      </c>
      <c r="N546" s="100">
        <f>F546+850</f>
        <v>21712</v>
      </c>
      <c r="O546" s="295">
        <f t="shared" ref="O546:O550" si="1633">+N546*$X$1</f>
        <v>21712</v>
      </c>
      <c r="P546" s="100">
        <f>F546+740</f>
        <v>21602</v>
      </c>
      <c r="Q546" s="295">
        <f t="shared" ref="Q546:Q547" si="1634">+P546*$X$1</f>
        <v>21602</v>
      </c>
      <c r="R546" s="100">
        <f>F546+650</f>
        <v>21512</v>
      </c>
      <c r="S546" s="295">
        <f t="shared" ref="S546:S547" si="1635">+R546*$X$1</f>
        <v>21512</v>
      </c>
      <c r="T546" s="100">
        <f>F546+560</f>
        <v>21422</v>
      </c>
      <c r="U546" s="295">
        <f t="shared" ref="U546:U547" si="1636">+T546*$X$1</f>
        <v>21422</v>
      </c>
      <c r="V546" s="100">
        <f>F546+450</f>
        <v>21312</v>
      </c>
      <c r="W546" s="295">
        <f t="shared" ref="W546:W547" si="1637">+V546*$X$1</f>
        <v>21312</v>
      </c>
      <c r="X546" s="136"/>
      <c r="Y546" s="131"/>
      <c r="Z546" s="137"/>
      <c r="AA546" s="138"/>
      <c r="AB546" s="385" t="s">
        <v>621</v>
      </c>
    </row>
    <row r="547" spans="1:34" ht="12.6" customHeight="1" x14ac:dyDescent="0.2">
      <c r="A547" s="4"/>
      <c r="B547" s="711" t="s">
        <v>478</v>
      </c>
      <c r="C547" s="745"/>
      <c r="D547" s="745"/>
      <c r="E547" s="745"/>
      <c r="F547" s="365">
        <f>20*X2</f>
        <v>21960</v>
      </c>
      <c r="G547" s="279">
        <f t="shared" ref="G547" si="1638">+F547*$X$1</f>
        <v>21960</v>
      </c>
      <c r="H547" s="99">
        <f>F547+6000</f>
        <v>27960</v>
      </c>
      <c r="I547" s="308">
        <f t="shared" si="1630"/>
        <v>27960</v>
      </c>
      <c r="J547" s="99">
        <f>F547+2000</f>
        <v>23960</v>
      </c>
      <c r="K547" s="308">
        <f t="shared" si="1631"/>
        <v>23960</v>
      </c>
      <c r="L547" s="99">
        <f>F547+1700</f>
        <v>23660</v>
      </c>
      <c r="M547" s="308">
        <f t="shared" si="1632"/>
        <v>23660</v>
      </c>
      <c r="N547" s="99">
        <f>F547+1550</f>
        <v>23510</v>
      </c>
      <c r="O547" s="308">
        <f t="shared" si="1633"/>
        <v>23510</v>
      </c>
      <c r="P547" s="99">
        <f>F547+1350</f>
        <v>23310</v>
      </c>
      <c r="Q547" s="308">
        <f t="shared" si="1634"/>
        <v>23310</v>
      </c>
      <c r="R547" s="99">
        <f>F547+1200</f>
        <v>23160</v>
      </c>
      <c r="S547" s="308">
        <f t="shared" si="1635"/>
        <v>23160</v>
      </c>
      <c r="T547" s="99">
        <f>F547+1050</f>
        <v>23010</v>
      </c>
      <c r="U547" s="308">
        <f t="shared" si="1636"/>
        <v>23010</v>
      </c>
      <c r="V547" s="99">
        <f>F547+900</f>
        <v>22860</v>
      </c>
      <c r="W547" s="308">
        <f t="shared" si="1637"/>
        <v>22860</v>
      </c>
      <c r="X547" s="136"/>
      <c r="Y547" s="131"/>
      <c r="Z547" s="137"/>
      <c r="AA547" s="138"/>
      <c r="AB547" s="385">
        <v>900</v>
      </c>
    </row>
    <row r="548" spans="1:34" ht="12.6" customHeight="1" x14ac:dyDescent="0.2">
      <c r="A548" s="4"/>
      <c r="B548" s="742" t="s">
        <v>966</v>
      </c>
      <c r="C548" s="948"/>
      <c r="D548" s="948"/>
      <c r="E548" s="949"/>
      <c r="F548" s="644">
        <v>15372</v>
      </c>
      <c r="G548" s="278">
        <f>+F548*$X$1</f>
        <v>15372</v>
      </c>
      <c r="H548" s="100">
        <f>F548+5000</f>
        <v>20372</v>
      </c>
      <c r="I548" s="295">
        <f t="shared" si="1630"/>
        <v>20372</v>
      </c>
      <c r="J548" s="100">
        <f>F548+1200</f>
        <v>16572</v>
      </c>
      <c r="K548" s="295">
        <f t="shared" ref="K548" si="1639">+J548*$X$1</f>
        <v>16572</v>
      </c>
      <c r="L548" s="100">
        <f>F548+1000</f>
        <v>16372</v>
      </c>
      <c r="M548" s="295">
        <f t="shared" ref="M548" si="1640">+L548*$X$1</f>
        <v>16372</v>
      </c>
      <c r="N548" s="100"/>
      <c r="O548" s="295"/>
      <c r="P548" s="100"/>
      <c r="Q548" s="295"/>
      <c r="R548" s="100"/>
      <c r="S548" s="295"/>
      <c r="T548" s="100"/>
      <c r="U548" s="295"/>
      <c r="V548" s="100"/>
      <c r="W548" s="295"/>
      <c r="X548" s="136"/>
      <c r="Y548" s="131"/>
      <c r="Z548" s="137"/>
      <c r="AA548" s="138"/>
      <c r="AB548" s="385">
        <v>902</v>
      </c>
    </row>
    <row r="549" spans="1:34" ht="12.6" customHeight="1" x14ac:dyDescent="0.2">
      <c r="A549" s="4"/>
      <c r="B549" s="711" t="s">
        <v>407</v>
      </c>
      <c r="C549" s="745"/>
      <c r="D549" s="745"/>
      <c r="E549" s="745"/>
      <c r="F549" s="318">
        <v>21930</v>
      </c>
      <c r="G549" s="279">
        <f>+F549*$X$1</f>
        <v>21930</v>
      </c>
      <c r="H549" s="99">
        <f>F549+5000</f>
        <v>26930</v>
      </c>
      <c r="I549" s="308">
        <f t="shared" ref="I549:I550" si="1641">+H549*$X$1</f>
        <v>26930</v>
      </c>
      <c r="J549" s="99">
        <f>F549+1200</f>
        <v>23130</v>
      </c>
      <c r="K549" s="308">
        <f t="shared" si="1631"/>
        <v>23130</v>
      </c>
      <c r="L549" s="99">
        <f>F549+1000</f>
        <v>22930</v>
      </c>
      <c r="M549" s="308">
        <f t="shared" si="1632"/>
        <v>22930</v>
      </c>
      <c r="N549" s="99">
        <f>F549+850</f>
        <v>22780</v>
      </c>
      <c r="O549" s="308">
        <f t="shared" si="1633"/>
        <v>22780</v>
      </c>
      <c r="P549" s="99">
        <f>F549+740</f>
        <v>22670</v>
      </c>
      <c r="Q549" s="308">
        <f t="shared" ref="Q549:Q550" si="1642">+P549*$X$1</f>
        <v>22670</v>
      </c>
      <c r="R549" s="99">
        <f>F549+650</f>
        <v>22580</v>
      </c>
      <c r="S549" s="308">
        <f t="shared" ref="S549:S550" si="1643">+R549*$X$1</f>
        <v>22580</v>
      </c>
      <c r="T549" s="99">
        <f>F549+560</f>
        <v>22490</v>
      </c>
      <c r="U549" s="308">
        <f t="shared" ref="U549:U550" si="1644">+T549*$X$1</f>
        <v>22490</v>
      </c>
      <c r="V549" s="99">
        <f>F549+450</f>
        <v>22380</v>
      </c>
      <c r="W549" s="308">
        <f t="shared" ref="W549:W550" si="1645">+V549*$X$1</f>
        <v>22380</v>
      </c>
      <c r="X549" s="136"/>
      <c r="Y549" s="131"/>
      <c r="Z549" s="137"/>
      <c r="AA549" s="138"/>
      <c r="AB549" s="385">
        <v>905</v>
      </c>
    </row>
    <row r="550" spans="1:34" ht="12.6" customHeight="1" x14ac:dyDescent="0.2">
      <c r="A550" s="4"/>
      <c r="B550" s="746" t="s">
        <v>662</v>
      </c>
      <c r="C550" s="763"/>
      <c r="D550" s="763"/>
      <c r="E550" s="763"/>
      <c r="F550" s="364">
        <f>21.3*X2</f>
        <v>23387.4</v>
      </c>
      <c r="G550" s="278">
        <f>+F550*$X$1</f>
        <v>23387.4</v>
      </c>
      <c r="H550" s="100">
        <f>F550+6000</f>
        <v>29387.4</v>
      </c>
      <c r="I550" s="295">
        <f t="shared" si="1641"/>
        <v>29387.4</v>
      </c>
      <c r="J550" s="100">
        <f>F550+2000</f>
        <v>25387.4</v>
      </c>
      <c r="K550" s="295">
        <f t="shared" si="1631"/>
        <v>25387.4</v>
      </c>
      <c r="L550" s="100">
        <f>F550+1700</f>
        <v>25087.4</v>
      </c>
      <c r="M550" s="295">
        <f t="shared" si="1632"/>
        <v>25087.4</v>
      </c>
      <c r="N550" s="100">
        <f>F550+1550</f>
        <v>24937.4</v>
      </c>
      <c r="O550" s="295">
        <f t="shared" si="1633"/>
        <v>24937.4</v>
      </c>
      <c r="P550" s="100">
        <f>F550+1350</f>
        <v>24737.4</v>
      </c>
      <c r="Q550" s="295">
        <f t="shared" si="1642"/>
        <v>24737.4</v>
      </c>
      <c r="R550" s="100">
        <f>F550+1200</f>
        <v>24587.4</v>
      </c>
      <c r="S550" s="295">
        <f t="shared" si="1643"/>
        <v>24587.4</v>
      </c>
      <c r="T550" s="100">
        <f>F550+1050</f>
        <v>24437.4</v>
      </c>
      <c r="U550" s="295">
        <f t="shared" si="1644"/>
        <v>24437.4</v>
      </c>
      <c r="V550" s="100">
        <f>F550+900</f>
        <v>24287.4</v>
      </c>
      <c r="W550" s="295">
        <f t="shared" si="1645"/>
        <v>24287.4</v>
      </c>
      <c r="X550" s="136"/>
      <c r="Y550" s="131"/>
      <c r="Z550" s="137"/>
      <c r="AA550" s="138"/>
      <c r="AB550" s="385">
        <v>906</v>
      </c>
    </row>
    <row r="551" spans="1:34" ht="12.6" customHeight="1" x14ac:dyDescent="0.2">
      <c r="A551" s="4"/>
      <c r="B551" s="711" t="s">
        <v>663</v>
      </c>
      <c r="C551" s="745"/>
      <c r="D551" s="745"/>
      <c r="E551" s="745"/>
      <c r="F551" s="365">
        <f>21.3*X2</f>
        <v>23387.4</v>
      </c>
      <c r="G551" s="279">
        <f>+F551*$X$1</f>
        <v>23387.4</v>
      </c>
      <c r="H551" s="99">
        <f>F551+5000</f>
        <v>28387.4</v>
      </c>
      <c r="I551" s="308">
        <f t="shared" ref="I551:I552" si="1646">+H551*$X$1</f>
        <v>28387.4</v>
      </c>
      <c r="J551" s="99">
        <f>F551+1200</f>
        <v>24587.4</v>
      </c>
      <c r="K551" s="308">
        <f t="shared" ref="K551:K552" si="1647">+J551*$X$1</f>
        <v>24587.4</v>
      </c>
      <c r="L551" s="99">
        <f>F551+1000</f>
        <v>24387.4</v>
      </c>
      <c r="M551" s="308">
        <f t="shared" ref="M551:M552" si="1648">+L551*$X$1</f>
        <v>24387.4</v>
      </c>
      <c r="N551" s="99">
        <f>F551+850</f>
        <v>24237.4</v>
      </c>
      <c r="O551" s="308">
        <f t="shared" ref="O551:O552" si="1649">+N551*$X$1</f>
        <v>24237.4</v>
      </c>
      <c r="P551" s="99">
        <f>F551+740</f>
        <v>24127.4</v>
      </c>
      <c r="Q551" s="308">
        <f t="shared" ref="Q551:Q552" si="1650">+P551*$X$1</f>
        <v>24127.4</v>
      </c>
      <c r="R551" s="99">
        <f>F551+650</f>
        <v>24037.4</v>
      </c>
      <c r="S551" s="308">
        <f t="shared" ref="S551:S552" si="1651">+R551*$X$1</f>
        <v>24037.4</v>
      </c>
      <c r="T551" s="99">
        <f>F551+560</f>
        <v>23947.4</v>
      </c>
      <c r="U551" s="308">
        <f t="shared" ref="U551:U552" si="1652">+T551*$X$1</f>
        <v>23947.4</v>
      </c>
      <c r="V551" s="99">
        <f>F551+450</f>
        <v>23837.4</v>
      </c>
      <c r="W551" s="308">
        <f t="shared" ref="W551:W552" si="1653">+V551*$X$1</f>
        <v>23837.4</v>
      </c>
      <c r="X551" s="136"/>
      <c r="Y551" s="131"/>
      <c r="Z551" s="137"/>
      <c r="AA551" s="138"/>
      <c r="AB551" s="385">
        <v>906</v>
      </c>
    </row>
    <row r="552" spans="1:34" ht="12.6" customHeight="1" x14ac:dyDescent="0.2">
      <c r="A552" s="4"/>
      <c r="B552" s="746" t="s">
        <v>608</v>
      </c>
      <c r="C552" s="691"/>
      <c r="D552" s="691"/>
      <c r="E552" s="691"/>
      <c r="F552" s="367">
        <f>21.1*X2</f>
        <v>23167.800000000003</v>
      </c>
      <c r="G552" s="278">
        <f t="shared" ref="G552" si="1654">+F552*$X$1</f>
        <v>23167.800000000003</v>
      </c>
      <c r="H552" s="100">
        <f>F552+6000</f>
        <v>29167.800000000003</v>
      </c>
      <c r="I552" s="295">
        <f t="shared" si="1646"/>
        <v>29167.800000000003</v>
      </c>
      <c r="J552" s="100">
        <f>F552+2000</f>
        <v>25167.800000000003</v>
      </c>
      <c r="K552" s="295">
        <f t="shared" si="1647"/>
        <v>25167.800000000003</v>
      </c>
      <c r="L552" s="100">
        <f>F552+1700</f>
        <v>24867.800000000003</v>
      </c>
      <c r="M552" s="295">
        <f t="shared" si="1648"/>
        <v>24867.800000000003</v>
      </c>
      <c r="N552" s="100">
        <f>F552+1550</f>
        <v>24717.800000000003</v>
      </c>
      <c r="O552" s="295">
        <f t="shared" si="1649"/>
        <v>24717.800000000003</v>
      </c>
      <c r="P552" s="100">
        <f>F552+1350</f>
        <v>24517.800000000003</v>
      </c>
      <c r="Q552" s="295">
        <f t="shared" si="1650"/>
        <v>24517.800000000003</v>
      </c>
      <c r="R552" s="100">
        <f>F552+1200</f>
        <v>24367.800000000003</v>
      </c>
      <c r="S552" s="295">
        <f t="shared" si="1651"/>
        <v>24367.800000000003</v>
      </c>
      <c r="T552" s="100">
        <f>F552+1050</f>
        <v>24217.800000000003</v>
      </c>
      <c r="U552" s="295">
        <f t="shared" si="1652"/>
        <v>24217.800000000003</v>
      </c>
      <c r="V552" s="100">
        <f>F552+900</f>
        <v>24067.800000000003</v>
      </c>
      <c r="W552" s="295">
        <f t="shared" si="1653"/>
        <v>24067.800000000003</v>
      </c>
      <c r="X552" s="136"/>
      <c r="Y552" s="131"/>
      <c r="Z552" s="137"/>
      <c r="AA552" s="138"/>
      <c r="AB552" s="385" t="s">
        <v>622</v>
      </c>
    </row>
    <row r="553" spans="1:34" ht="12.6" customHeight="1" x14ac:dyDescent="0.2">
      <c r="A553" s="4"/>
      <c r="B553" s="711" t="s">
        <v>661</v>
      </c>
      <c r="C553" s="673"/>
      <c r="D553" s="673"/>
      <c r="E553" s="673"/>
      <c r="F553" s="366">
        <f>21.1*X2</f>
        <v>23167.800000000003</v>
      </c>
      <c r="G553" s="279">
        <f t="shared" ref="G553" si="1655">+F553*$X$1</f>
        <v>23167.800000000003</v>
      </c>
      <c r="H553" s="99">
        <f>F553+5000</f>
        <v>28167.800000000003</v>
      </c>
      <c r="I553" s="308">
        <f t="shared" ref="I553" si="1656">+H553*$X$1</f>
        <v>28167.800000000003</v>
      </c>
      <c r="J553" s="99">
        <f>F553+1200</f>
        <v>24367.800000000003</v>
      </c>
      <c r="K553" s="308">
        <f t="shared" ref="K553" si="1657">+J553*$X$1</f>
        <v>24367.800000000003</v>
      </c>
      <c r="L553" s="99">
        <f>F553+1000</f>
        <v>24167.800000000003</v>
      </c>
      <c r="M553" s="308">
        <f t="shared" ref="M553" si="1658">+L553*$X$1</f>
        <v>24167.800000000003</v>
      </c>
      <c r="N553" s="99">
        <f>F553+850</f>
        <v>24017.800000000003</v>
      </c>
      <c r="O553" s="308">
        <f t="shared" ref="O553" si="1659">+N553*$X$1</f>
        <v>24017.800000000003</v>
      </c>
      <c r="P553" s="99"/>
      <c r="Q553" s="308"/>
      <c r="R553" s="99"/>
      <c r="S553" s="308"/>
      <c r="T553" s="99"/>
      <c r="U553" s="308"/>
      <c r="V553" s="99"/>
      <c r="W553" s="308"/>
      <c r="X553" s="136"/>
      <c r="Y553" s="131"/>
      <c r="Z553" s="137"/>
      <c r="AA553" s="138"/>
      <c r="AB553" s="385">
        <v>907</v>
      </c>
    </row>
    <row r="554" spans="1:34" ht="12.6" customHeight="1" x14ac:dyDescent="0.2">
      <c r="A554" s="4"/>
      <c r="B554" s="1188" t="s">
        <v>580</v>
      </c>
      <c r="C554" s="1189"/>
      <c r="D554" s="1189"/>
      <c r="E554" s="1189"/>
      <c r="F554" s="1190"/>
      <c r="G554" s="1191"/>
      <c r="H554" s="641">
        <v>1900</v>
      </c>
      <c r="I554" s="278">
        <f t="shared" ref="I554" si="1660">+H554*$X$1</f>
        <v>1900</v>
      </c>
      <c r="J554" s="641">
        <v>1000</v>
      </c>
      <c r="K554" s="278">
        <f t="shared" ref="K554" si="1661">+J554*$X$1</f>
        <v>1000</v>
      </c>
      <c r="L554" s="641">
        <v>800</v>
      </c>
      <c r="M554" s="278">
        <f t="shared" ref="M554" si="1662">+L554*$X$1</f>
        <v>800</v>
      </c>
      <c r="N554" s="641">
        <v>700</v>
      </c>
      <c r="O554" s="278">
        <f t="shared" ref="O554" si="1663">+N554*$X$1</f>
        <v>700</v>
      </c>
      <c r="P554" s="641">
        <v>650</v>
      </c>
      <c r="Q554" s="278">
        <f t="shared" ref="Q554" si="1664">+P554*$X$1</f>
        <v>650</v>
      </c>
      <c r="R554" s="641">
        <v>550</v>
      </c>
      <c r="S554" s="278">
        <f t="shared" ref="S554" si="1665">+R554*$X$1</f>
        <v>550</v>
      </c>
      <c r="T554" s="641">
        <v>500</v>
      </c>
      <c r="U554" s="278">
        <f t="shared" ref="U554" si="1666">+T554*$X$1</f>
        <v>500</v>
      </c>
      <c r="V554" s="641">
        <v>460</v>
      </c>
      <c r="W554" s="278">
        <f t="shared" ref="W554" si="1667">+V554*$X$1</f>
        <v>460</v>
      </c>
      <c r="X554" s="136"/>
      <c r="Y554" s="131"/>
      <c r="Z554" s="137"/>
      <c r="AA554" s="138"/>
      <c r="AB554" s="32"/>
    </row>
    <row r="555" spans="1:34" ht="12.6" customHeight="1" x14ac:dyDescent="0.2">
      <c r="A555" s="4"/>
      <c r="B555" s="1192" t="s">
        <v>581</v>
      </c>
      <c r="C555" s="1193"/>
      <c r="D555" s="1193"/>
      <c r="E555" s="1193"/>
      <c r="F555" s="1190"/>
      <c r="G555" s="1191"/>
      <c r="H555" s="440">
        <v>900</v>
      </c>
      <c r="I555" s="279">
        <f t="shared" ref="I555" si="1668">+H555*$X$1</f>
        <v>900</v>
      </c>
      <c r="J555" s="440">
        <v>750</v>
      </c>
      <c r="K555" s="279">
        <f t="shared" ref="K555" si="1669">+J555*$X$1</f>
        <v>750</v>
      </c>
      <c r="L555" s="440">
        <v>600</v>
      </c>
      <c r="M555" s="279">
        <f t="shared" ref="M555" si="1670">+L555*$X$1</f>
        <v>600</v>
      </c>
      <c r="N555" s="440">
        <v>550</v>
      </c>
      <c r="O555" s="279">
        <f t="shared" ref="O555" si="1671">+N555*$X$1</f>
        <v>550</v>
      </c>
      <c r="P555" s="440">
        <v>500</v>
      </c>
      <c r="Q555" s="279">
        <f t="shared" ref="Q555" si="1672">+P555*$X$1</f>
        <v>500</v>
      </c>
      <c r="R555" s="440">
        <v>450</v>
      </c>
      <c r="S555" s="279">
        <f t="shared" ref="S555" si="1673">+R555*$X$1</f>
        <v>450</v>
      </c>
      <c r="T555" s="440">
        <v>400</v>
      </c>
      <c r="U555" s="279">
        <f t="shared" ref="U555" si="1674">+T555*$X$1</f>
        <v>400</v>
      </c>
      <c r="V555" s="440">
        <v>370</v>
      </c>
      <c r="W555" s="279">
        <f t="shared" ref="W555" si="1675">+V555*$X$1</f>
        <v>370</v>
      </c>
      <c r="X555" s="136"/>
      <c r="Y555" s="131"/>
      <c r="Z555" s="137"/>
      <c r="AA555" s="138"/>
      <c r="AB555" s="32"/>
    </row>
    <row r="556" spans="1:34" ht="12.6" customHeight="1" x14ac:dyDescent="0.2">
      <c r="A556" s="95"/>
      <c r="B556" s="76"/>
      <c r="C556" s="77"/>
      <c r="D556" s="77"/>
      <c r="E556" s="77"/>
      <c r="F556" s="77"/>
      <c r="G556" s="77"/>
      <c r="H556" s="77"/>
      <c r="I556" s="323"/>
      <c r="J556" s="114"/>
      <c r="K556" s="323"/>
      <c r="L556" s="114"/>
      <c r="M556" s="323"/>
      <c r="N556" s="114"/>
      <c r="O556" s="323"/>
      <c r="P556" s="114"/>
      <c r="Q556" s="323"/>
      <c r="R556" s="114"/>
      <c r="S556" s="323"/>
      <c r="T556" s="114"/>
      <c r="U556" s="323"/>
      <c r="V556" s="114"/>
      <c r="W556" s="323"/>
      <c r="AB556" s="80"/>
    </row>
    <row r="557" spans="1:34" ht="12.6" customHeight="1" x14ac:dyDescent="0.2">
      <c r="A557" s="95"/>
      <c r="B557" s="76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8"/>
      <c r="W557" s="79"/>
      <c r="AB557" s="80"/>
    </row>
    <row r="558" spans="1:34" ht="12.6" customHeight="1" x14ac:dyDescent="0.2">
      <c r="A558" s="95"/>
      <c r="B558" s="76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8"/>
      <c r="W558" s="79"/>
      <c r="AB558" s="80"/>
    </row>
    <row r="559" spans="1:34" ht="15" customHeight="1" x14ac:dyDescent="0.2">
      <c r="B559" s="986" t="s">
        <v>557</v>
      </c>
      <c r="C559" s="987"/>
      <c r="D559" s="987"/>
      <c r="E559" s="987"/>
      <c r="F559" s="987"/>
      <c r="G559" s="987"/>
      <c r="H559" s="987"/>
      <c r="I559" s="987"/>
      <c r="J559" s="987"/>
      <c r="K559" s="987"/>
      <c r="L559" s="987"/>
      <c r="M559" s="987"/>
      <c r="N559" s="987"/>
      <c r="O559" s="987"/>
      <c r="P559" s="987"/>
      <c r="Q559" s="987"/>
      <c r="R559" s="987"/>
      <c r="S559" s="987"/>
      <c r="T559" s="987"/>
      <c r="U559" s="987"/>
      <c r="V559" s="987"/>
      <c r="W559" s="987"/>
      <c r="AB559" s="4"/>
      <c r="AF559" s="674"/>
      <c r="AG559" s="675"/>
      <c r="AH559" s="675"/>
    </row>
    <row r="560" spans="1:34" ht="14.25" customHeight="1" x14ac:dyDescent="0.2">
      <c r="B560" s="697" t="s">
        <v>11</v>
      </c>
      <c r="C560" s="699" t="s">
        <v>12</v>
      </c>
      <c r="D560" s="700"/>
      <c r="E560" s="700"/>
      <c r="F560" s="702" t="s">
        <v>283</v>
      </c>
      <c r="G560" s="702" t="s">
        <v>13</v>
      </c>
      <c r="H560" s="704" t="s">
        <v>798</v>
      </c>
      <c r="I560" s="704"/>
      <c r="J560" s="705"/>
      <c r="K560" s="705"/>
      <c r="L560" s="705"/>
      <c r="M560" s="705"/>
      <c r="N560" s="705"/>
      <c r="O560" s="705"/>
      <c r="P560" s="705"/>
      <c r="Q560" s="705"/>
      <c r="R560" s="705"/>
      <c r="S560" s="705"/>
      <c r="T560" s="705"/>
      <c r="U560" s="705"/>
      <c r="V560" s="705"/>
      <c r="W560" s="706"/>
      <c r="X560" s="678" t="s">
        <v>14</v>
      </c>
      <c r="Y560" s="679"/>
      <c r="Z560" s="679"/>
      <c r="AA560" s="680"/>
      <c r="AB560" s="676" t="s">
        <v>15</v>
      </c>
      <c r="AF560" s="674" t="s">
        <v>3</v>
      </c>
      <c r="AG560" s="675"/>
      <c r="AH560" s="675"/>
    </row>
    <row r="561" spans="1:28" ht="12" customHeight="1" x14ac:dyDescent="0.2">
      <c r="B561" s="698"/>
      <c r="C561" s="701"/>
      <c r="D561" s="701"/>
      <c r="E561" s="701"/>
      <c r="F561" s="703"/>
      <c r="G561" s="703"/>
      <c r="H561" s="461"/>
      <c r="I561" s="462" t="s">
        <v>544</v>
      </c>
      <c r="J561" s="461"/>
      <c r="K561" s="462" t="s">
        <v>284</v>
      </c>
      <c r="L561" s="461"/>
      <c r="M561" s="462" t="s">
        <v>285</v>
      </c>
      <c r="N561" s="461"/>
      <c r="O561" s="462" t="s">
        <v>546</v>
      </c>
      <c r="P561" s="461"/>
      <c r="Q561" s="462" t="s">
        <v>17</v>
      </c>
      <c r="R561" s="461"/>
      <c r="S561" s="462" t="s">
        <v>18</v>
      </c>
      <c r="T561" s="461"/>
      <c r="U561" s="462" t="s">
        <v>19</v>
      </c>
      <c r="V561" s="461"/>
      <c r="W561" s="463" t="s">
        <v>547</v>
      </c>
      <c r="X561" s="681"/>
      <c r="Y561" s="682"/>
      <c r="Z561" s="682"/>
      <c r="AA561" s="683"/>
      <c r="AB561" s="677"/>
    </row>
    <row r="562" spans="1:28" ht="12" customHeight="1" x14ac:dyDescent="0.2">
      <c r="A562" s="4"/>
      <c r="B562" s="672" t="s">
        <v>858</v>
      </c>
      <c r="C562" s="745"/>
      <c r="D562" s="745"/>
      <c r="E562" s="745"/>
      <c r="F562" s="308">
        <f>13.34*X2</f>
        <v>14647.32</v>
      </c>
      <c r="G562" s="308">
        <f t="shared" ref="G562:G563" si="1676">+F562*$X$1</f>
        <v>14647.32</v>
      </c>
      <c r="H562" s="99"/>
      <c r="I562" s="308"/>
      <c r="J562" s="99">
        <f>F562+1000</f>
        <v>15647.32</v>
      </c>
      <c r="K562" s="308">
        <f t="shared" ref="K562" si="1677">+J562*$X$1</f>
        <v>15647.32</v>
      </c>
      <c r="L562" s="99">
        <f t="shared" ref="L562:L567" si="1678">F562+800</f>
        <v>15447.32</v>
      </c>
      <c r="M562" s="308">
        <f t="shared" ref="M562" si="1679">+L562*$X$1</f>
        <v>15447.32</v>
      </c>
      <c r="N562" s="99">
        <f t="shared" ref="N562:N567" si="1680">F562+700</f>
        <v>15347.32</v>
      </c>
      <c r="O562" s="308">
        <f t="shared" ref="O562" si="1681">+N562*$X$1</f>
        <v>15347.32</v>
      </c>
      <c r="P562" s="99">
        <f t="shared" ref="P562:P567" si="1682">F562+600</f>
        <v>15247.32</v>
      </c>
      <c r="Q562" s="308">
        <f t="shared" ref="Q562" si="1683">+P562*$X$1</f>
        <v>15247.32</v>
      </c>
      <c r="R562" s="99">
        <f t="shared" ref="R562:R583" si="1684">F562+500</f>
        <v>15147.32</v>
      </c>
      <c r="S562" s="308">
        <f t="shared" ref="S562" si="1685">+R562*$X$1</f>
        <v>15147.32</v>
      </c>
      <c r="T562" s="99">
        <f t="shared" ref="T562:T583" si="1686">F562+450</f>
        <v>15097.32</v>
      </c>
      <c r="U562" s="308">
        <f t="shared" ref="U562" si="1687">+T562*$X$1</f>
        <v>15097.32</v>
      </c>
      <c r="V562" s="99">
        <f t="shared" ref="V562:V583" si="1688">F562+360</f>
        <v>15007.32</v>
      </c>
      <c r="W562" s="308">
        <f t="shared" ref="W562" si="1689">+V562*$X$1</f>
        <v>15007.32</v>
      </c>
      <c r="X562" s="136"/>
      <c r="Y562" s="131"/>
      <c r="Z562" s="137"/>
      <c r="AA562" s="138"/>
      <c r="AB562" s="385">
        <v>533</v>
      </c>
    </row>
    <row r="563" spans="1:28" ht="12" customHeight="1" x14ac:dyDescent="0.2">
      <c r="A563" s="4"/>
      <c r="B563" s="695" t="s">
        <v>943</v>
      </c>
      <c r="C563" s="696"/>
      <c r="D563" s="696"/>
      <c r="E563" s="696"/>
      <c r="F563" s="295">
        <f>6.6*X2</f>
        <v>7246.7999999999993</v>
      </c>
      <c r="G563" s="295">
        <f t="shared" si="1676"/>
        <v>7246.7999999999993</v>
      </c>
      <c r="H563" s="100"/>
      <c r="I563" s="295"/>
      <c r="J563" s="100"/>
      <c r="K563" s="295"/>
      <c r="L563" s="100">
        <f t="shared" si="1678"/>
        <v>8046.7999999999993</v>
      </c>
      <c r="M563" s="295">
        <f t="shared" ref="M563:M567" si="1690">+L563*$X$1</f>
        <v>8046.7999999999993</v>
      </c>
      <c r="N563" s="100">
        <f t="shared" si="1680"/>
        <v>7946.7999999999993</v>
      </c>
      <c r="O563" s="295">
        <f t="shared" ref="O563:O567" si="1691">+N563*$X$1</f>
        <v>7946.7999999999993</v>
      </c>
      <c r="P563" s="100">
        <f t="shared" si="1682"/>
        <v>7846.7999999999993</v>
      </c>
      <c r="Q563" s="295">
        <f t="shared" ref="Q563:Q567" si="1692">+P563*$X$1</f>
        <v>7846.7999999999993</v>
      </c>
      <c r="R563" s="100">
        <f t="shared" si="1684"/>
        <v>7746.7999999999993</v>
      </c>
      <c r="S563" s="295">
        <f t="shared" ref="S563:S568" si="1693">+R563*$X$1</f>
        <v>7746.7999999999993</v>
      </c>
      <c r="T563" s="100">
        <f t="shared" si="1686"/>
        <v>7696.7999999999993</v>
      </c>
      <c r="U563" s="295">
        <f t="shared" ref="U563:U568" si="1694">+T563*$X$1</f>
        <v>7696.7999999999993</v>
      </c>
      <c r="V563" s="100">
        <f t="shared" si="1688"/>
        <v>7606.7999999999993</v>
      </c>
      <c r="W563" s="295">
        <f t="shared" ref="W563:W568" si="1695">+V563*$X$1</f>
        <v>7606.7999999999993</v>
      </c>
      <c r="X563" s="136"/>
      <c r="Y563" s="131"/>
      <c r="Z563" s="137"/>
      <c r="AA563" s="138"/>
      <c r="AB563" s="399">
        <v>556</v>
      </c>
    </row>
    <row r="564" spans="1:28" ht="12" customHeight="1" x14ac:dyDescent="0.2">
      <c r="A564" s="4"/>
      <c r="B564" s="659" t="s">
        <v>861</v>
      </c>
      <c r="C564" s="727"/>
      <c r="D564" s="727"/>
      <c r="E564" s="727"/>
      <c r="F564" s="308">
        <f>7.82*X2</f>
        <v>8586.36</v>
      </c>
      <c r="G564" s="308">
        <f t="shared" ref="G564" si="1696">+F564*$X$1</f>
        <v>8586.36</v>
      </c>
      <c r="H564" s="99"/>
      <c r="I564" s="308"/>
      <c r="J564" s="99"/>
      <c r="K564" s="308"/>
      <c r="L564" s="99">
        <f t="shared" si="1678"/>
        <v>9386.36</v>
      </c>
      <c r="M564" s="308">
        <f t="shared" si="1690"/>
        <v>9386.36</v>
      </c>
      <c r="N564" s="99">
        <f t="shared" si="1680"/>
        <v>9286.36</v>
      </c>
      <c r="O564" s="308">
        <f t="shared" si="1691"/>
        <v>9286.36</v>
      </c>
      <c r="P564" s="99">
        <f t="shared" si="1682"/>
        <v>9186.36</v>
      </c>
      <c r="Q564" s="308">
        <f t="shared" si="1692"/>
        <v>9186.36</v>
      </c>
      <c r="R564" s="99">
        <f t="shared" si="1684"/>
        <v>9086.36</v>
      </c>
      <c r="S564" s="308">
        <f t="shared" si="1693"/>
        <v>9086.36</v>
      </c>
      <c r="T564" s="99">
        <f t="shared" si="1686"/>
        <v>9036.36</v>
      </c>
      <c r="U564" s="308">
        <f t="shared" si="1694"/>
        <v>9036.36</v>
      </c>
      <c r="V564" s="99">
        <f t="shared" si="1688"/>
        <v>8946.36</v>
      </c>
      <c r="W564" s="308">
        <f t="shared" si="1695"/>
        <v>8946.36</v>
      </c>
      <c r="X564" s="136"/>
      <c r="Y564" s="131"/>
      <c r="Z564" s="137"/>
      <c r="AA564" s="138"/>
      <c r="AB564" s="399">
        <v>566</v>
      </c>
    </row>
    <row r="565" spans="1:28" ht="12" customHeight="1" x14ac:dyDescent="0.2">
      <c r="A565" s="4"/>
      <c r="B565" s="695" t="s">
        <v>862</v>
      </c>
      <c r="C565" s="696"/>
      <c r="D565" s="696"/>
      <c r="E565" s="696"/>
      <c r="F565" s="295">
        <f>9.65*X2</f>
        <v>10595.7</v>
      </c>
      <c r="G565" s="295">
        <f t="shared" ref="G565" si="1697">+F565*$X$1</f>
        <v>10595.7</v>
      </c>
      <c r="H565" s="100"/>
      <c r="I565" s="295"/>
      <c r="J565" s="100"/>
      <c r="K565" s="295"/>
      <c r="L565" s="100">
        <f t="shared" si="1678"/>
        <v>11395.7</v>
      </c>
      <c r="M565" s="295">
        <f t="shared" si="1690"/>
        <v>11395.7</v>
      </c>
      <c r="N565" s="100">
        <f t="shared" si="1680"/>
        <v>11295.7</v>
      </c>
      <c r="O565" s="295">
        <f t="shared" si="1691"/>
        <v>11295.7</v>
      </c>
      <c r="P565" s="100">
        <f t="shared" si="1682"/>
        <v>11195.7</v>
      </c>
      <c r="Q565" s="295">
        <f t="shared" si="1692"/>
        <v>11195.7</v>
      </c>
      <c r="R565" s="100">
        <f t="shared" si="1684"/>
        <v>11095.7</v>
      </c>
      <c r="S565" s="295">
        <f t="shared" si="1693"/>
        <v>11095.7</v>
      </c>
      <c r="T565" s="100">
        <f t="shared" si="1686"/>
        <v>11045.7</v>
      </c>
      <c r="U565" s="295">
        <f t="shared" si="1694"/>
        <v>11045.7</v>
      </c>
      <c r="V565" s="100">
        <f t="shared" si="1688"/>
        <v>10955.7</v>
      </c>
      <c r="W565" s="295">
        <f t="shared" si="1695"/>
        <v>10955.7</v>
      </c>
      <c r="X565" s="136"/>
      <c r="Y565" s="131"/>
      <c r="Z565" s="137"/>
      <c r="AA565" s="138"/>
      <c r="AB565" s="399">
        <v>567</v>
      </c>
    </row>
    <row r="566" spans="1:28" ht="12" customHeight="1" x14ac:dyDescent="0.2">
      <c r="A566" s="4"/>
      <c r="B566" s="659" t="s">
        <v>863</v>
      </c>
      <c r="C566" s="727"/>
      <c r="D566" s="727"/>
      <c r="E566" s="727"/>
      <c r="F566" s="308">
        <f>9.36*X2</f>
        <v>10277.279999999999</v>
      </c>
      <c r="G566" s="308">
        <f t="shared" ref="G566" si="1698">+F566*$X$1</f>
        <v>10277.279999999999</v>
      </c>
      <c r="H566" s="99"/>
      <c r="I566" s="308"/>
      <c r="J566" s="99"/>
      <c r="K566" s="308"/>
      <c r="L566" s="99">
        <f t="shared" si="1678"/>
        <v>11077.279999999999</v>
      </c>
      <c r="M566" s="308">
        <f t="shared" si="1690"/>
        <v>11077.279999999999</v>
      </c>
      <c r="N566" s="99">
        <f t="shared" si="1680"/>
        <v>10977.279999999999</v>
      </c>
      <c r="O566" s="308">
        <f t="shared" si="1691"/>
        <v>10977.279999999999</v>
      </c>
      <c r="P566" s="99">
        <f t="shared" si="1682"/>
        <v>10877.279999999999</v>
      </c>
      <c r="Q566" s="308">
        <f t="shared" si="1692"/>
        <v>10877.279999999999</v>
      </c>
      <c r="R566" s="99">
        <f t="shared" si="1684"/>
        <v>10777.279999999999</v>
      </c>
      <c r="S566" s="308">
        <f t="shared" si="1693"/>
        <v>10777.279999999999</v>
      </c>
      <c r="T566" s="99">
        <f t="shared" si="1686"/>
        <v>10727.279999999999</v>
      </c>
      <c r="U566" s="308">
        <f t="shared" si="1694"/>
        <v>10727.279999999999</v>
      </c>
      <c r="V566" s="99">
        <f t="shared" si="1688"/>
        <v>10637.279999999999</v>
      </c>
      <c r="W566" s="308">
        <f t="shared" si="1695"/>
        <v>10637.279999999999</v>
      </c>
      <c r="X566" s="136"/>
      <c r="Y566" s="131"/>
      <c r="Z566" s="137"/>
      <c r="AA566" s="138"/>
      <c r="AB566" s="399">
        <v>569</v>
      </c>
    </row>
    <row r="567" spans="1:28" ht="12" customHeight="1" x14ac:dyDescent="0.2">
      <c r="A567" s="4"/>
      <c r="B567" s="695" t="s">
        <v>730</v>
      </c>
      <c r="C567" s="696"/>
      <c r="D567" s="696"/>
      <c r="E567" s="696"/>
      <c r="F567" s="295">
        <f>28.12*X2</f>
        <v>30875.760000000002</v>
      </c>
      <c r="G567" s="295">
        <f t="shared" ref="G567:I567" si="1699">+F567*$X$1</f>
        <v>30875.760000000002</v>
      </c>
      <c r="H567" s="100">
        <f>F567+5000</f>
        <v>35875.760000000002</v>
      </c>
      <c r="I567" s="295">
        <f t="shared" si="1699"/>
        <v>35875.760000000002</v>
      </c>
      <c r="J567" s="100">
        <f>F567+1000</f>
        <v>31875.760000000002</v>
      </c>
      <c r="K567" s="295">
        <f t="shared" ref="K567" si="1700">+J567*$X$1</f>
        <v>31875.760000000002</v>
      </c>
      <c r="L567" s="100">
        <f t="shared" si="1678"/>
        <v>31675.760000000002</v>
      </c>
      <c r="M567" s="295">
        <f t="shared" si="1690"/>
        <v>31675.760000000002</v>
      </c>
      <c r="N567" s="100">
        <f t="shared" si="1680"/>
        <v>31575.760000000002</v>
      </c>
      <c r="O567" s="295">
        <f t="shared" si="1691"/>
        <v>31575.760000000002</v>
      </c>
      <c r="P567" s="100">
        <f t="shared" si="1682"/>
        <v>31475.760000000002</v>
      </c>
      <c r="Q567" s="295">
        <f t="shared" si="1692"/>
        <v>31475.760000000002</v>
      </c>
      <c r="R567" s="100">
        <f t="shared" si="1684"/>
        <v>31375.760000000002</v>
      </c>
      <c r="S567" s="295">
        <f t="shared" si="1693"/>
        <v>31375.760000000002</v>
      </c>
      <c r="T567" s="100">
        <f t="shared" si="1686"/>
        <v>31325.760000000002</v>
      </c>
      <c r="U567" s="295">
        <f t="shared" si="1694"/>
        <v>31325.760000000002</v>
      </c>
      <c r="V567" s="100">
        <f t="shared" si="1688"/>
        <v>31235.760000000002</v>
      </c>
      <c r="W567" s="295">
        <f t="shared" si="1695"/>
        <v>31235.760000000002</v>
      </c>
      <c r="X567" s="136"/>
      <c r="Y567" s="131"/>
      <c r="Z567" s="137"/>
      <c r="AA567" s="138"/>
      <c r="AB567" s="399">
        <v>570</v>
      </c>
    </row>
    <row r="568" spans="1:28" ht="12" customHeight="1" x14ac:dyDescent="0.2">
      <c r="A568" s="4"/>
      <c r="B568" s="1030" t="s">
        <v>940</v>
      </c>
      <c r="C568" s="1031"/>
      <c r="D568" s="1031"/>
      <c r="E568" s="1031"/>
      <c r="F568" s="308">
        <v>5450</v>
      </c>
      <c r="G568" s="308">
        <f>+F568*$X$1</f>
        <v>5450</v>
      </c>
      <c r="H568" s="99"/>
      <c r="I568" s="308"/>
      <c r="J568" s="99"/>
      <c r="K568" s="308"/>
      <c r="L568" s="99"/>
      <c r="M568" s="308"/>
      <c r="N568" s="99"/>
      <c r="O568" s="308"/>
      <c r="P568" s="99"/>
      <c r="Q568" s="308"/>
      <c r="R568" s="99">
        <f t="shared" si="1684"/>
        <v>5950</v>
      </c>
      <c r="S568" s="308">
        <f t="shared" si="1693"/>
        <v>5950</v>
      </c>
      <c r="T568" s="99">
        <f t="shared" si="1686"/>
        <v>5900</v>
      </c>
      <c r="U568" s="308">
        <f t="shared" si="1694"/>
        <v>5900</v>
      </c>
      <c r="V568" s="99">
        <f t="shared" si="1688"/>
        <v>5810</v>
      </c>
      <c r="W568" s="308">
        <f t="shared" si="1695"/>
        <v>5810</v>
      </c>
      <c r="X568" s="136"/>
      <c r="Y568" s="131"/>
      <c r="Z568" s="137"/>
      <c r="AA568" s="138"/>
      <c r="AB568" s="385">
        <v>572</v>
      </c>
    </row>
    <row r="569" spans="1:28" ht="12" customHeight="1" x14ac:dyDescent="0.2">
      <c r="A569" s="4"/>
      <c r="B569" s="695" t="s">
        <v>939</v>
      </c>
      <c r="C569" s="696"/>
      <c r="D569" s="696"/>
      <c r="E569" s="696"/>
      <c r="F569" s="295">
        <f>5.08*X2</f>
        <v>5577.84</v>
      </c>
      <c r="G569" s="295">
        <f t="shared" ref="G569" si="1701">+F569*$X$1</f>
        <v>5577.84</v>
      </c>
      <c r="H569" s="100"/>
      <c r="I569" s="295"/>
      <c r="J569" s="100"/>
      <c r="K569" s="295"/>
      <c r="L569" s="100"/>
      <c r="M569" s="295"/>
      <c r="N569" s="100">
        <f t="shared" ref="N569:N583" si="1702">F569+700</f>
        <v>6277.84</v>
      </c>
      <c r="O569" s="295">
        <f t="shared" ref="O569:O570" si="1703">+N569*$X$1</f>
        <v>6277.84</v>
      </c>
      <c r="P569" s="100">
        <f t="shared" ref="P569:P583" si="1704">F569+600</f>
        <v>6177.84</v>
      </c>
      <c r="Q569" s="295">
        <f t="shared" ref="Q569:Q570" si="1705">+P569*$X$1</f>
        <v>6177.84</v>
      </c>
      <c r="R569" s="100">
        <f t="shared" si="1684"/>
        <v>6077.84</v>
      </c>
      <c r="S569" s="295">
        <f t="shared" ref="S569:S570" si="1706">+R569*$X$1</f>
        <v>6077.84</v>
      </c>
      <c r="T569" s="100">
        <f t="shared" si="1686"/>
        <v>6027.84</v>
      </c>
      <c r="U569" s="295">
        <f t="shared" ref="U569:U570" si="1707">+T569*$X$1</f>
        <v>6027.84</v>
      </c>
      <c r="V569" s="100">
        <f t="shared" si="1688"/>
        <v>5937.84</v>
      </c>
      <c r="W569" s="295">
        <f t="shared" ref="W569:W570" si="1708">+V569*$X$1</f>
        <v>5937.84</v>
      </c>
      <c r="X569" s="136"/>
      <c r="Y569" s="131"/>
      <c r="Z569" s="137"/>
      <c r="AA569" s="138"/>
      <c r="AB569" s="385" t="s">
        <v>770</v>
      </c>
    </row>
    <row r="570" spans="1:28" ht="12" customHeight="1" x14ac:dyDescent="0.2">
      <c r="A570" s="4"/>
      <c r="B570" s="1030" t="s">
        <v>889</v>
      </c>
      <c r="C570" s="1031"/>
      <c r="D570" s="1031"/>
      <c r="E570" s="1031"/>
      <c r="F570" s="308">
        <f>1.7*X2</f>
        <v>1866.6</v>
      </c>
      <c r="G570" s="308">
        <f t="shared" ref="G570" si="1709">+F570*$X$1</f>
        <v>1866.6</v>
      </c>
      <c r="H570" s="99"/>
      <c r="I570" s="308"/>
      <c r="J570" s="99"/>
      <c r="K570" s="308"/>
      <c r="L570" s="99"/>
      <c r="M570" s="308"/>
      <c r="N570" s="99">
        <f t="shared" si="1702"/>
        <v>2566.6</v>
      </c>
      <c r="O570" s="308">
        <f t="shared" si="1703"/>
        <v>2566.6</v>
      </c>
      <c r="P570" s="99">
        <f t="shared" si="1704"/>
        <v>2466.6</v>
      </c>
      <c r="Q570" s="308">
        <f t="shared" si="1705"/>
        <v>2466.6</v>
      </c>
      <c r="R570" s="99">
        <f t="shared" si="1684"/>
        <v>2366.6</v>
      </c>
      <c r="S570" s="308">
        <f t="shared" si="1706"/>
        <v>2366.6</v>
      </c>
      <c r="T570" s="99">
        <f t="shared" si="1686"/>
        <v>2316.6</v>
      </c>
      <c r="U570" s="308">
        <f t="shared" si="1707"/>
        <v>2316.6</v>
      </c>
      <c r="V570" s="99">
        <f t="shared" si="1688"/>
        <v>2226.6</v>
      </c>
      <c r="W570" s="308">
        <f t="shared" si="1708"/>
        <v>2226.6</v>
      </c>
      <c r="X570" s="136"/>
      <c r="Y570" s="131"/>
      <c r="Z570" s="137"/>
      <c r="AA570" s="138"/>
      <c r="AB570" s="385">
        <v>575</v>
      </c>
    </row>
    <row r="571" spans="1:28" ht="12" customHeight="1" x14ac:dyDescent="0.2">
      <c r="A571" s="4"/>
      <c r="B571" s="753" t="s">
        <v>720</v>
      </c>
      <c r="C571" s="1115"/>
      <c r="D571" s="1115"/>
      <c r="E571" s="1115"/>
      <c r="F571" s="510">
        <v>18310</v>
      </c>
      <c r="G571" s="510">
        <f t="shared" ref="G571" si="1710">+F571*$X$1</f>
        <v>18310</v>
      </c>
      <c r="H571" s="628"/>
      <c r="I571" s="510"/>
      <c r="J571" s="628"/>
      <c r="K571" s="510"/>
      <c r="L571" s="628">
        <f t="shared" ref="L571:L583" si="1711">F571+800</f>
        <v>19110</v>
      </c>
      <c r="M571" s="510">
        <f t="shared" ref="M571:M576" si="1712">+L571*$X$1</f>
        <v>19110</v>
      </c>
      <c r="N571" s="628">
        <f t="shared" si="1702"/>
        <v>19010</v>
      </c>
      <c r="O571" s="510">
        <f t="shared" ref="O571:O576" si="1713">+N571*$X$1</f>
        <v>19010</v>
      </c>
      <c r="P571" s="628">
        <f t="shared" si="1704"/>
        <v>18910</v>
      </c>
      <c r="Q571" s="510">
        <f t="shared" ref="Q571:Q576" si="1714">+P571*$X$1</f>
        <v>18910</v>
      </c>
      <c r="R571" s="628">
        <f t="shared" si="1684"/>
        <v>18810</v>
      </c>
      <c r="S571" s="510">
        <f t="shared" ref="S571:S576" si="1715">+R571*$X$1</f>
        <v>18810</v>
      </c>
      <c r="T571" s="628">
        <f t="shared" si="1686"/>
        <v>18760</v>
      </c>
      <c r="U571" s="510">
        <f t="shared" ref="U571:U576" si="1716">+T571*$X$1</f>
        <v>18760</v>
      </c>
      <c r="V571" s="628">
        <f t="shared" si="1688"/>
        <v>18670</v>
      </c>
      <c r="W571" s="510">
        <f t="shared" ref="W571:W576" si="1717">+V571*$X$1</f>
        <v>18670</v>
      </c>
      <c r="X571" s="136"/>
      <c r="Y571" s="131"/>
      <c r="Z571" s="137"/>
      <c r="AA571" s="138"/>
      <c r="AB571" s="385">
        <v>577</v>
      </c>
    </row>
    <row r="572" spans="1:28" ht="12" customHeight="1" x14ac:dyDescent="0.2">
      <c r="A572" s="4"/>
      <c r="B572" s="672" t="s">
        <v>719</v>
      </c>
      <c r="C572" s="745"/>
      <c r="D572" s="745"/>
      <c r="E572" s="745"/>
      <c r="F572" s="308">
        <f>29.9*X2</f>
        <v>32830.199999999997</v>
      </c>
      <c r="G572" s="308">
        <f>+F572*$X$1</f>
        <v>32830.199999999997</v>
      </c>
      <c r="H572" s="99">
        <f>F572+5000</f>
        <v>37830.199999999997</v>
      </c>
      <c r="I572" s="308">
        <f t="shared" ref="I572:I575" si="1718">+H572*$X$1</f>
        <v>37830.199999999997</v>
      </c>
      <c r="J572" s="99">
        <f>F572+1000</f>
        <v>33830.199999999997</v>
      </c>
      <c r="K572" s="308">
        <f t="shared" ref="K572:K575" si="1719">+J572*$X$1</f>
        <v>33830.199999999997</v>
      </c>
      <c r="L572" s="99">
        <f t="shared" si="1711"/>
        <v>33630.199999999997</v>
      </c>
      <c r="M572" s="308">
        <f t="shared" si="1712"/>
        <v>33630.199999999997</v>
      </c>
      <c r="N572" s="99">
        <f t="shared" si="1702"/>
        <v>33530.199999999997</v>
      </c>
      <c r="O572" s="308">
        <f t="shared" si="1713"/>
        <v>33530.199999999997</v>
      </c>
      <c r="P572" s="99">
        <f t="shared" si="1704"/>
        <v>33430.199999999997</v>
      </c>
      <c r="Q572" s="308">
        <f t="shared" si="1714"/>
        <v>33430.199999999997</v>
      </c>
      <c r="R572" s="99">
        <f t="shared" si="1684"/>
        <v>33330.199999999997</v>
      </c>
      <c r="S572" s="308">
        <f t="shared" si="1715"/>
        <v>33330.199999999997</v>
      </c>
      <c r="T572" s="99">
        <f t="shared" si="1686"/>
        <v>33280.199999999997</v>
      </c>
      <c r="U572" s="308">
        <f t="shared" si="1716"/>
        <v>33280.199999999997</v>
      </c>
      <c r="V572" s="99">
        <f t="shared" si="1688"/>
        <v>33190.199999999997</v>
      </c>
      <c r="W572" s="308">
        <f t="shared" si="1717"/>
        <v>33190.199999999997</v>
      </c>
      <c r="X572" s="136"/>
      <c r="Y572" s="131"/>
      <c r="Z572" s="137"/>
      <c r="AA572" s="138"/>
      <c r="AB572" s="385">
        <v>580</v>
      </c>
    </row>
    <row r="573" spans="1:28" ht="12" customHeight="1" x14ac:dyDescent="0.2">
      <c r="A573" s="4"/>
      <c r="B573" s="690" t="s">
        <v>718</v>
      </c>
      <c r="C573" s="763"/>
      <c r="D573" s="763"/>
      <c r="E573" s="763"/>
      <c r="F573" s="311">
        <f>25.6*X2</f>
        <v>28108.800000000003</v>
      </c>
      <c r="G573" s="278">
        <f>+F573*$X$1</f>
        <v>28108.800000000003</v>
      </c>
      <c r="H573" s="100">
        <f>F573+5000</f>
        <v>33108.800000000003</v>
      </c>
      <c r="I573" s="295">
        <f t="shared" si="1718"/>
        <v>33108.800000000003</v>
      </c>
      <c r="J573" s="100">
        <f>F573+1000</f>
        <v>29108.800000000003</v>
      </c>
      <c r="K573" s="295">
        <f t="shared" si="1719"/>
        <v>29108.800000000003</v>
      </c>
      <c r="L573" s="100">
        <f t="shared" si="1711"/>
        <v>28908.800000000003</v>
      </c>
      <c r="M573" s="295">
        <f t="shared" si="1712"/>
        <v>28908.800000000003</v>
      </c>
      <c r="N573" s="100">
        <f t="shared" si="1702"/>
        <v>28808.800000000003</v>
      </c>
      <c r="O573" s="295">
        <f t="shared" si="1713"/>
        <v>28808.800000000003</v>
      </c>
      <c r="P573" s="100">
        <f t="shared" si="1704"/>
        <v>28708.800000000003</v>
      </c>
      <c r="Q573" s="295">
        <f t="shared" si="1714"/>
        <v>28708.800000000003</v>
      </c>
      <c r="R573" s="100">
        <f t="shared" si="1684"/>
        <v>28608.800000000003</v>
      </c>
      <c r="S573" s="295">
        <f t="shared" si="1715"/>
        <v>28608.800000000003</v>
      </c>
      <c r="T573" s="100">
        <f t="shared" si="1686"/>
        <v>28558.800000000003</v>
      </c>
      <c r="U573" s="295">
        <f t="shared" si="1716"/>
        <v>28558.800000000003</v>
      </c>
      <c r="V573" s="100">
        <f t="shared" si="1688"/>
        <v>28468.800000000003</v>
      </c>
      <c r="W573" s="295">
        <f t="shared" si="1717"/>
        <v>28468.800000000003</v>
      </c>
      <c r="X573" s="136"/>
      <c r="Y573" s="131"/>
      <c r="Z573" s="137"/>
      <c r="AA573" s="138"/>
      <c r="AB573" s="385">
        <v>582</v>
      </c>
    </row>
    <row r="574" spans="1:28" ht="12" customHeight="1" x14ac:dyDescent="0.2">
      <c r="A574" s="4"/>
      <c r="B574" s="672" t="s">
        <v>717</v>
      </c>
      <c r="C574" s="745"/>
      <c r="D574" s="745"/>
      <c r="E574" s="745"/>
      <c r="F574" s="308">
        <v>49980</v>
      </c>
      <c r="G574" s="308">
        <f>+F574*$X$1</f>
        <v>49980</v>
      </c>
      <c r="H574" s="99">
        <f>F574+5000</f>
        <v>54980</v>
      </c>
      <c r="I574" s="308">
        <f t="shared" si="1718"/>
        <v>54980</v>
      </c>
      <c r="J574" s="99">
        <f>F574+1000</f>
        <v>50980</v>
      </c>
      <c r="K574" s="308">
        <f t="shared" si="1719"/>
        <v>50980</v>
      </c>
      <c r="L574" s="99">
        <f t="shared" si="1711"/>
        <v>50780</v>
      </c>
      <c r="M574" s="308">
        <f t="shared" si="1712"/>
        <v>50780</v>
      </c>
      <c r="N574" s="99">
        <f t="shared" si="1702"/>
        <v>50680</v>
      </c>
      <c r="O574" s="308">
        <f t="shared" si="1713"/>
        <v>50680</v>
      </c>
      <c r="P574" s="99">
        <f t="shared" si="1704"/>
        <v>50580</v>
      </c>
      <c r="Q574" s="308">
        <f t="shared" si="1714"/>
        <v>50580</v>
      </c>
      <c r="R574" s="99">
        <f t="shared" si="1684"/>
        <v>50480</v>
      </c>
      <c r="S574" s="308">
        <f t="shared" si="1715"/>
        <v>50480</v>
      </c>
      <c r="T574" s="99">
        <f t="shared" si="1686"/>
        <v>50430</v>
      </c>
      <c r="U574" s="308">
        <f t="shared" si="1716"/>
        <v>50430</v>
      </c>
      <c r="V574" s="99">
        <f t="shared" si="1688"/>
        <v>50340</v>
      </c>
      <c r="W574" s="308">
        <f t="shared" si="1717"/>
        <v>50340</v>
      </c>
      <c r="X574" s="136"/>
      <c r="Y574" s="131"/>
      <c r="Z574" s="137"/>
      <c r="AA574" s="138"/>
      <c r="AB574" s="385">
        <v>584</v>
      </c>
    </row>
    <row r="575" spans="1:28" ht="12" customHeight="1" x14ac:dyDescent="0.2">
      <c r="A575" s="4"/>
      <c r="B575" s="742" t="s">
        <v>771</v>
      </c>
      <c r="C575" s="743"/>
      <c r="D575" s="743"/>
      <c r="E575" s="744"/>
      <c r="F575" s="311">
        <f>29.9*X2</f>
        <v>32830.199999999997</v>
      </c>
      <c r="G575" s="278">
        <f>+F575*$X$1</f>
        <v>32830.199999999997</v>
      </c>
      <c r="H575" s="100">
        <f>F575+5000</f>
        <v>37830.199999999997</v>
      </c>
      <c r="I575" s="295">
        <f t="shared" si="1718"/>
        <v>37830.199999999997</v>
      </c>
      <c r="J575" s="100">
        <f>F575+1000</f>
        <v>33830.199999999997</v>
      </c>
      <c r="K575" s="295">
        <f t="shared" si="1719"/>
        <v>33830.199999999997</v>
      </c>
      <c r="L575" s="100">
        <f t="shared" si="1711"/>
        <v>33630.199999999997</v>
      </c>
      <c r="M575" s="295">
        <f t="shared" si="1712"/>
        <v>33630.199999999997</v>
      </c>
      <c r="N575" s="100">
        <f t="shared" si="1702"/>
        <v>33530.199999999997</v>
      </c>
      <c r="O575" s="295">
        <f t="shared" si="1713"/>
        <v>33530.199999999997</v>
      </c>
      <c r="P575" s="100">
        <f t="shared" si="1704"/>
        <v>33430.199999999997</v>
      </c>
      <c r="Q575" s="295">
        <f t="shared" si="1714"/>
        <v>33430.199999999997</v>
      </c>
      <c r="R575" s="100">
        <f t="shared" si="1684"/>
        <v>33330.199999999997</v>
      </c>
      <c r="S575" s="295">
        <f t="shared" si="1715"/>
        <v>33330.199999999997</v>
      </c>
      <c r="T575" s="100">
        <f t="shared" si="1686"/>
        <v>33280.199999999997</v>
      </c>
      <c r="U575" s="295">
        <f t="shared" si="1716"/>
        <v>33280.199999999997</v>
      </c>
      <c r="V575" s="100">
        <f t="shared" si="1688"/>
        <v>33190.199999999997</v>
      </c>
      <c r="W575" s="295">
        <f t="shared" si="1717"/>
        <v>33190.199999999997</v>
      </c>
      <c r="X575" s="136"/>
      <c r="Y575" s="131"/>
      <c r="Z575" s="137"/>
      <c r="AA575" s="138"/>
      <c r="AB575" s="385">
        <v>586</v>
      </c>
    </row>
    <row r="576" spans="1:28" ht="12" customHeight="1" x14ac:dyDescent="0.2">
      <c r="A576" s="4"/>
      <c r="B576" s="739" t="s">
        <v>864</v>
      </c>
      <c r="C576" s="740"/>
      <c r="D576" s="740"/>
      <c r="E576" s="741"/>
      <c r="F576" s="308">
        <v>16400</v>
      </c>
      <c r="G576" s="308">
        <f t="shared" ref="G576" si="1720">+F576*$X$1</f>
        <v>16400</v>
      </c>
      <c r="H576" s="99"/>
      <c r="I576" s="308"/>
      <c r="J576" s="99"/>
      <c r="K576" s="308"/>
      <c r="L576" s="99">
        <f t="shared" si="1711"/>
        <v>17200</v>
      </c>
      <c r="M576" s="308">
        <f t="shared" si="1712"/>
        <v>17200</v>
      </c>
      <c r="N576" s="99">
        <f t="shared" si="1702"/>
        <v>17100</v>
      </c>
      <c r="O576" s="308">
        <f t="shared" si="1713"/>
        <v>17100</v>
      </c>
      <c r="P576" s="99">
        <f t="shared" si="1704"/>
        <v>17000</v>
      </c>
      <c r="Q576" s="308">
        <f t="shared" si="1714"/>
        <v>17000</v>
      </c>
      <c r="R576" s="99">
        <f t="shared" si="1684"/>
        <v>16900</v>
      </c>
      <c r="S576" s="308">
        <f t="shared" si="1715"/>
        <v>16900</v>
      </c>
      <c r="T576" s="99">
        <f t="shared" si="1686"/>
        <v>16850</v>
      </c>
      <c r="U576" s="308">
        <f t="shared" si="1716"/>
        <v>16850</v>
      </c>
      <c r="V576" s="99">
        <f t="shared" si="1688"/>
        <v>16760</v>
      </c>
      <c r="W576" s="308">
        <f t="shared" si="1717"/>
        <v>16760</v>
      </c>
      <c r="X576" s="136"/>
      <c r="Y576" s="131"/>
      <c r="Z576" s="137"/>
      <c r="AA576" s="138"/>
      <c r="AB576" s="385">
        <v>590</v>
      </c>
    </row>
    <row r="577" spans="1:28" ht="12" customHeight="1" x14ac:dyDescent="0.2">
      <c r="A577" s="4"/>
      <c r="B577" s="708" t="s">
        <v>874</v>
      </c>
      <c r="C577" s="709"/>
      <c r="D577" s="709"/>
      <c r="E577" s="710"/>
      <c r="F577" s="311">
        <f>6.28*X2</f>
        <v>6895.4400000000005</v>
      </c>
      <c r="G577" s="278">
        <f>+F577*$X$1</f>
        <v>6895.4400000000005</v>
      </c>
      <c r="H577" s="100">
        <f>F577+5000</f>
        <v>11895.44</v>
      </c>
      <c r="I577" s="295">
        <f t="shared" ref="I577:I578" si="1721">+H577*$X$1</f>
        <v>11895.44</v>
      </c>
      <c r="J577" s="100">
        <f t="shared" ref="J577:J583" si="1722">F577+1000</f>
        <v>7895.4400000000005</v>
      </c>
      <c r="K577" s="295">
        <f t="shared" ref="K577:K578" si="1723">+J577*$X$1</f>
        <v>7895.4400000000005</v>
      </c>
      <c r="L577" s="100">
        <f t="shared" si="1711"/>
        <v>7695.4400000000005</v>
      </c>
      <c r="M577" s="295">
        <f t="shared" ref="M577:M579" si="1724">+L577*$X$1</f>
        <v>7695.4400000000005</v>
      </c>
      <c r="N577" s="100">
        <f t="shared" si="1702"/>
        <v>7595.4400000000005</v>
      </c>
      <c r="O577" s="295">
        <f t="shared" ref="O577:O579" si="1725">+N577*$X$1</f>
        <v>7595.4400000000005</v>
      </c>
      <c r="P577" s="100">
        <f t="shared" si="1704"/>
        <v>7495.4400000000005</v>
      </c>
      <c r="Q577" s="295">
        <f t="shared" ref="Q577:Q579" si="1726">+P577*$X$1</f>
        <v>7495.4400000000005</v>
      </c>
      <c r="R577" s="100">
        <f t="shared" si="1684"/>
        <v>7395.4400000000005</v>
      </c>
      <c r="S577" s="295">
        <f t="shared" ref="S577:S579" si="1727">+R577*$X$1</f>
        <v>7395.4400000000005</v>
      </c>
      <c r="T577" s="100">
        <f t="shared" si="1686"/>
        <v>7345.4400000000005</v>
      </c>
      <c r="U577" s="295">
        <f t="shared" ref="U577:U579" si="1728">+T577*$X$1</f>
        <v>7345.4400000000005</v>
      </c>
      <c r="V577" s="100">
        <f t="shared" si="1688"/>
        <v>7255.4400000000005</v>
      </c>
      <c r="W577" s="295">
        <f t="shared" ref="W577:W579" si="1729">+V577*$X$1</f>
        <v>7255.4400000000005</v>
      </c>
      <c r="X577" s="136"/>
      <c r="Y577" s="131"/>
      <c r="Z577" s="137"/>
      <c r="AA577" s="138"/>
      <c r="AB577" s="189">
        <v>593</v>
      </c>
    </row>
    <row r="578" spans="1:28" ht="12" customHeight="1" x14ac:dyDescent="0.2">
      <c r="A578" s="4"/>
      <c r="B578" s="708" t="s">
        <v>991</v>
      </c>
      <c r="C578" s="709"/>
      <c r="D578" s="709"/>
      <c r="E578" s="710"/>
      <c r="F578" s="365">
        <f>18.45*X2</f>
        <v>20258.099999999999</v>
      </c>
      <c r="G578" s="279">
        <f>+F578*$X$1</f>
        <v>20258.099999999999</v>
      </c>
      <c r="H578" s="99">
        <f t="shared" ref="H578" si="1730">F578+5000</f>
        <v>25258.1</v>
      </c>
      <c r="I578" s="308">
        <f t="shared" si="1721"/>
        <v>25258.1</v>
      </c>
      <c r="J578" s="99">
        <f t="shared" si="1722"/>
        <v>21258.1</v>
      </c>
      <c r="K578" s="308">
        <f t="shared" si="1723"/>
        <v>21258.1</v>
      </c>
      <c r="L578" s="99">
        <f t="shared" si="1711"/>
        <v>21058.1</v>
      </c>
      <c r="M578" s="308">
        <f t="shared" si="1724"/>
        <v>21058.1</v>
      </c>
      <c r="N578" s="99">
        <f t="shared" si="1702"/>
        <v>20958.099999999999</v>
      </c>
      <c r="O578" s="308">
        <f t="shared" si="1725"/>
        <v>20958.099999999999</v>
      </c>
      <c r="P578" s="99">
        <f t="shared" si="1704"/>
        <v>20858.099999999999</v>
      </c>
      <c r="Q578" s="308">
        <f t="shared" si="1726"/>
        <v>20858.099999999999</v>
      </c>
      <c r="R578" s="99">
        <f t="shared" si="1684"/>
        <v>20758.099999999999</v>
      </c>
      <c r="S578" s="308">
        <f t="shared" si="1727"/>
        <v>20758.099999999999</v>
      </c>
      <c r="T578" s="99">
        <f t="shared" si="1686"/>
        <v>20708.099999999999</v>
      </c>
      <c r="U578" s="308">
        <f t="shared" si="1728"/>
        <v>20708.099999999999</v>
      </c>
      <c r="V578" s="99">
        <f t="shared" si="1688"/>
        <v>20618.099999999999</v>
      </c>
      <c r="W578" s="308">
        <f t="shared" si="1729"/>
        <v>20618.099999999999</v>
      </c>
      <c r="X578" s="136"/>
      <c r="Y578" s="131"/>
      <c r="Z578" s="137"/>
      <c r="AA578" s="138"/>
      <c r="AB578" s="385">
        <v>598</v>
      </c>
    </row>
    <row r="579" spans="1:28" ht="12" customHeight="1" x14ac:dyDescent="0.2">
      <c r="A579" s="4"/>
      <c r="B579" s="1163" t="s">
        <v>729</v>
      </c>
      <c r="C579" s="1164"/>
      <c r="D579" s="1164"/>
      <c r="E579" s="1165"/>
      <c r="F579" s="636">
        <v>22985</v>
      </c>
      <c r="G579" s="511">
        <f>+F579*$X$1</f>
        <v>22985</v>
      </c>
      <c r="H579" s="628"/>
      <c r="I579" s="510"/>
      <c r="J579" s="628"/>
      <c r="K579" s="510"/>
      <c r="L579" s="628">
        <f t="shared" si="1711"/>
        <v>23785</v>
      </c>
      <c r="M579" s="510">
        <f t="shared" si="1724"/>
        <v>23785</v>
      </c>
      <c r="N579" s="628">
        <f t="shared" si="1702"/>
        <v>23685</v>
      </c>
      <c r="O579" s="510">
        <f t="shared" si="1725"/>
        <v>23685</v>
      </c>
      <c r="P579" s="628">
        <f t="shared" si="1704"/>
        <v>23585</v>
      </c>
      <c r="Q579" s="510">
        <f t="shared" si="1726"/>
        <v>23585</v>
      </c>
      <c r="R579" s="628">
        <f t="shared" si="1684"/>
        <v>23485</v>
      </c>
      <c r="S579" s="510">
        <f t="shared" si="1727"/>
        <v>23485</v>
      </c>
      <c r="T579" s="628">
        <f t="shared" si="1686"/>
        <v>23435</v>
      </c>
      <c r="U579" s="510">
        <f t="shared" si="1728"/>
        <v>23435</v>
      </c>
      <c r="V579" s="628">
        <f t="shared" si="1688"/>
        <v>23345</v>
      </c>
      <c r="W579" s="510">
        <f t="shared" si="1729"/>
        <v>23345</v>
      </c>
      <c r="X579" s="136"/>
      <c r="Y579" s="131"/>
      <c r="Z579" s="137"/>
      <c r="AA579" s="138"/>
      <c r="AB579" s="385">
        <v>599</v>
      </c>
    </row>
    <row r="580" spans="1:28" ht="12" customHeight="1" x14ac:dyDescent="0.2">
      <c r="A580" s="4"/>
      <c r="B580" s="1163" t="s">
        <v>716</v>
      </c>
      <c r="C580" s="1164"/>
      <c r="D580" s="1164"/>
      <c r="E580" s="1165"/>
      <c r="F580" s="515">
        <f>16.95*X2</f>
        <v>18611.099999999999</v>
      </c>
      <c r="G580" s="511">
        <f>+F580*$X$1</f>
        <v>18611.099999999999</v>
      </c>
      <c r="H580" s="628">
        <f>F580+5000</f>
        <v>23611.1</v>
      </c>
      <c r="I580" s="510">
        <f t="shared" ref="I580:I583" si="1731">+H580*$X$1</f>
        <v>23611.1</v>
      </c>
      <c r="J580" s="628">
        <f t="shared" si="1722"/>
        <v>19611.099999999999</v>
      </c>
      <c r="K580" s="510">
        <f t="shared" ref="K580:K583" si="1732">+J580*$X$1</f>
        <v>19611.099999999999</v>
      </c>
      <c r="L580" s="628">
        <f t="shared" si="1711"/>
        <v>19411.099999999999</v>
      </c>
      <c r="M580" s="510">
        <f t="shared" ref="M580:M583" si="1733">+L580*$X$1</f>
        <v>19411.099999999999</v>
      </c>
      <c r="N580" s="628">
        <f t="shared" si="1702"/>
        <v>19311.099999999999</v>
      </c>
      <c r="O580" s="510">
        <f t="shared" ref="O580:O583" si="1734">+N580*$X$1</f>
        <v>19311.099999999999</v>
      </c>
      <c r="P580" s="628">
        <f t="shared" si="1704"/>
        <v>19211.099999999999</v>
      </c>
      <c r="Q580" s="510">
        <f t="shared" ref="Q580:Q583" si="1735">+P580*$X$1</f>
        <v>19211.099999999999</v>
      </c>
      <c r="R580" s="628">
        <f t="shared" si="1684"/>
        <v>19111.099999999999</v>
      </c>
      <c r="S580" s="510">
        <f t="shared" ref="S580:S583" si="1736">+R580*$X$1</f>
        <v>19111.099999999999</v>
      </c>
      <c r="T580" s="628">
        <f t="shared" si="1686"/>
        <v>19061.099999999999</v>
      </c>
      <c r="U580" s="510">
        <f t="shared" ref="U580:U583" si="1737">+T580*$X$1</f>
        <v>19061.099999999999</v>
      </c>
      <c r="V580" s="628">
        <f t="shared" si="1688"/>
        <v>18971.099999999999</v>
      </c>
      <c r="W580" s="510">
        <f t="shared" ref="W580:W583" si="1738">+V580*$X$1</f>
        <v>18971.099999999999</v>
      </c>
      <c r="X580" s="136"/>
      <c r="Y580" s="131"/>
      <c r="Z580" s="137"/>
      <c r="AA580" s="138"/>
      <c r="AB580" s="385">
        <v>600</v>
      </c>
    </row>
    <row r="581" spans="1:28" ht="12" customHeight="1" x14ac:dyDescent="0.2">
      <c r="A581" s="4"/>
      <c r="B581" s="739" t="s">
        <v>873</v>
      </c>
      <c r="C581" s="740"/>
      <c r="D581" s="740"/>
      <c r="E581" s="741"/>
      <c r="F581" s="310">
        <f>74.5*X2</f>
        <v>81801</v>
      </c>
      <c r="G581" s="279">
        <f t="shared" ref="G581" si="1739">+F581*$X$1</f>
        <v>81801</v>
      </c>
      <c r="H581" s="99">
        <f>F581+5000</f>
        <v>86801</v>
      </c>
      <c r="I581" s="308">
        <f t="shared" si="1731"/>
        <v>86801</v>
      </c>
      <c r="J581" s="99">
        <f t="shared" si="1722"/>
        <v>82801</v>
      </c>
      <c r="K581" s="308">
        <f t="shared" si="1732"/>
        <v>82801</v>
      </c>
      <c r="L581" s="99">
        <f t="shared" si="1711"/>
        <v>82601</v>
      </c>
      <c r="M581" s="308">
        <f t="shared" si="1733"/>
        <v>82601</v>
      </c>
      <c r="N581" s="99">
        <f t="shared" si="1702"/>
        <v>82501</v>
      </c>
      <c r="O581" s="308">
        <f t="shared" si="1734"/>
        <v>82501</v>
      </c>
      <c r="P581" s="99">
        <f t="shared" si="1704"/>
        <v>82401</v>
      </c>
      <c r="Q581" s="308">
        <f t="shared" si="1735"/>
        <v>82401</v>
      </c>
      <c r="R581" s="99">
        <f t="shared" si="1684"/>
        <v>82301</v>
      </c>
      <c r="S581" s="308">
        <f t="shared" si="1736"/>
        <v>82301</v>
      </c>
      <c r="T581" s="99">
        <f t="shared" si="1686"/>
        <v>82251</v>
      </c>
      <c r="U581" s="308">
        <f t="shared" si="1737"/>
        <v>82251</v>
      </c>
      <c r="V581" s="99">
        <f t="shared" si="1688"/>
        <v>82161</v>
      </c>
      <c r="W581" s="308">
        <f t="shared" si="1738"/>
        <v>82161</v>
      </c>
      <c r="X581" s="136"/>
      <c r="Y581" s="131"/>
      <c r="Z581" s="137"/>
      <c r="AA581" s="138"/>
      <c r="AB581" s="385">
        <v>605</v>
      </c>
    </row>
    <row r="582" spans="1:28" ht="12" customHeight="1" x14ac:dyDescent="0.2">
      <c r="A582" s="4"/>
      <c r="B582" s="708" t="s">
        <v>860</v>
      </c>
      <c r="C582" s="709"/>
      <c r="D582" s="709"/>
      <c r="E582" s="710"/>
      <c r="F582" s="311">
        <f>53.39*X2</f>
        <v>58622.22</v>
      </c>
      <c r="G582" s="278">
        <f>+F582*$X$1</f>
        <v>58622.22</v>
      </c>
      <c r="H582" s="100">
        <f>F582+5000</f>
        <v>63622.22</v>
      </c>
      <c r="I582" s="295">
        <f t="shared" si="1731"/>
        <v>63622.22</v>
      </c>
      <c r="J582" s="100">
        <f t="shared" si="1722"/>
        <v>59622.22</v>
      </c>
      <c r="K582" s="295">
        <f t="shared" si="1732"/>
        <v>59622.22</v>
      </c>
      <c r="L582" s="100">
        <f t="shared" si="1711"/>
        <v>59422.22</v>
      </c>
      <c r="M582" s="295">
        <f t="shared" si="1733"/>
        <v>59422.22</v>
      </c>
      <c r="N582" s="100">
        <f t="shared" si="1702"/>
        <v>59322.22</v>
      </c>
      <c r="O582" s="295">
        <f t="shared" si="1734"/>
        <v>59322.22</v>
      </c>
      <c r="P582" s="100">
        <f t="shared" si="1704"/>
        <v>59222.22</v>
      </c>
      <c r="Q582" s="295">
        <f t="shared" si="1735"/>
        <v>59222.22</v>
      </c>
      <c r="R582" s="100">
        <f t="shared" si="1684"/>
        <v>59122.22</v>
      </c>
      <c r="S582" s="295">
        <f t="shared" si="1736"/>
        <v>59122.22</v>
      </c>
      <c r="T582" s="100">
        <f t="shared" si="1686"/>
        <v>59072.22</v>
      </c>
      <c r="U582" s="295">
        <f t="shared" si="1737"/>
        <v>59072.22</v>
      </c>
      <c r="V582" s="100">
        <f t="shared" si="1688"/>
        <v>58982.22</v>
      </c>
      <c r="W582" s="295">
        <f t="shared" si="1738"/>
        <v>58982.22</v>
      </c>
      <c r="X582" s="136"/>
      <c r="Y582" s="131"/>
      <c r="Z582" s="137"/>
      <c r="AA582" s="138"/>
      <c r="AB582" s="385">
        <v>608</v>
      </c>
    </row>
    <row r="583" spans="1:28" ht="12" customHeight="1" x14ac:dyDescent="0.2">
      <c r="A583" s="4"/>
      <c r="B583" s="739" t="s">
        <v>721</v>
      </c>
      <c r="C583" s="740"/>
      <c r="D583" s="740"/>
      <c r="E583" s="741"/>
      <c r="F583" s="310">
        <f>43.45*X2</f>
        <v>47708.100000000006</v>
      </c>
      <c r="G583" s="279">
        <f t="shared" ref="G583:G585" si="1740">+F583*$X$1</f>
        <v>47708.100000000006</v>
      </c>
      <c r="H583" s="99">
        <f>F583+5000</f>
        <v>52708.100000000006</v>
      </c>
      <c r="I583" s="308">
        <f t="shared" si="1731"/>
        <v>52708.100000000006</v>
      </c>
      <c r="J583" s="99">
        <f t="shared" si="1722"/>
        <v>48708.100000000006</v>
      </c>
      <c r="K583" s="308">
        <f t="shared" si="1732"/>
        <v>48708.100000000006</v>
      </c>
      <c r="L583" s="99">
        <f t="shared" si="1711"/>
        <v>48508.100000000006</v>
      </c>
      <c r="M583" s="308">
        <f t="shared" si="1733"/>
        <v>48508.100000000006</v>
      </c>
      <c r="N583" s="99">
        <f t="shared" si="1702"/>
        <v>48408.100000000006</v>
      </c>
      <c r="O583" s="308">
        <f t="shared" si="1734"/>
        <v>48408.100000000006</v>
      </c>
      <c r="P583" s="99">
        <f t="shared" si="1704"/>
        <v>48308.100000000006</v>
      </c>
      <c r="Q583" s="308">
        <f t="shared" si="1735"/>
        <v>48308.100000000006</v>
      </c>
      <c r="R583" s="99">
        <f t="shared" si="1684"/>
        <v>48208.100000000006</v>
      </c>
      <c r="S583" s="308">
        <f t="shared" si="1736"/>
        <v>48208.100000000006</v>
      </c>
      <c r="T583" s="99">
        <f t="shared" si="1686"/>
        <v>48158.100000000006</v>
      </c>
      <c r="U583" s="308">
        <f t="shared" si="1737"/>
        <v>48158.100000000006</v>
      </c>
      <c r="V583" s="99">
        <f t="shared" si="1688"/>
        <v>48068.100000000006</v>
      </c>
      <c r="W583" s="308">
        <f t="shared" si="1738"/>
        <v>48068.100000000006</v>
      </c>
      <c r="X583" s="136"/>
      <c r="Y583" s="131"/>
      <c r="Z583" s="137"/>
      <c r="AA583" s="138"/>
      <c r="AB583" s="385">
        <v>609</v>
      </c>
    </row>
    <row r="584" spans="1:28" ht="12" customHeight="1" x14ac:dyDescent="0.2">
      <c r="A584" s="4"/>
      <c r="B584" s="742" t="s">
        <v>722</v>
      </c>
      <c r="C584" s="743"/>
      <c r="D584" s="743"/>
      <c r="E584" s="744"/>
      <c r="F584" s="311">
        <f>45*X2</f>
        <v>49410</v>
      </c>
      <c r="G584" s="278">
        <f t="shared" si="1740"/>
        <v>49410</v>
      </c>
      <c r="H584" s="100">
        <f t="shared" ref="H584:H621" si="1741">F584+5000</f>
        <v>54410</v>
      </c>
      <c r="I584" s="295">
        <f t="shared" ref="I584:I621" si="1742">+H584*$X$1</f>
        <v>54410</v>
      </c>
      <c r="J584" s="100">
        <f t="shared" ref="J584:J621" si="1743">F584+1000</f>
        <v>50410</v>
      </c>
      <c r="K584" s="295">
        <f t="shared" ref="K584:K621" si="1744">+J584*$X$1</f>
        <v>50410</v>
      </c>
      <c r="L584" s="100">
        <f t="shared" ref="L584:L621" si="1745">F584+800</f>
        <v>50210</v>
      </c>
      <c r="M584" s="295">
        <f t="shared" ref="M584:M621" si="1746">+L584*$X$1</f>
        <v>50210</v>
      </c>
      <c r="N584" s="100">
        <f t="shared" ref="N584:N621" si="1747">F584+700</f>
        <v>50110</v>
      </c>
      <c r="O584" s="295">
        <f t="shared" ref="O584:O621" si="1748">+N584*$X$1</f>
        <v>50110</v>
      </c>
      <c r="P584" s="100">
        <f t="shared" ref="P584:P621" si="1749">F584+600</f>
        <v>50010</v>
      </c>
      <c r="Q584" s="295">
        <f t="shared" ref="Q584:Q621" si="1750">+P584*$X$1</f>
        <v>50010</v>
      </c>
      <c r="R584" s="100">
        <f t="shared" ref="R584:R621" si="1751">F584+500</f>
        <v>49910</v>
      </c>
      <c r="S584" s="295">
        <f t="shared" ref="S584:S621" si="1752">+R584*$X$1</f>
        <v>49910</v>
      </c>
      <c r="T584" s="100">
        <f t="shared" ref="T584:T621" si="1753">F584+450</f>
        <v>49860</v>
      </c>
      <c r="U584" s="295">
        <f t="shared" ref="U584:U621" si="1754">+T584*$X$1</f>
        <v>49860</v>
      </c>
      <c r="V584" s="100">
        <f t="shared" ref="V584:V621" si="1755">F584+360</f>
        <v>49770</v>
      </c>
      <c r="W584" s="295">
        <f t="shared" ref="W584:W621" si="1756">+V584*$X$1</f>
        <v>49770</v>
      </c>
      <c r="X584" s="136"/>
      <c r="Y584" s="131"/>
      <c r="Z584" s="137"/>
      <c r="AA584" s="138"/>
      <c r="AB584" s="385">
        <v>611</v>
      </c>
    </row>
    <row r="585" spans="1:28" ht="12" customHeight="1" x14ac:dyDescent="0.2">
      <c r="A585" s="4"/>
      <c r="B585" s="739" t="s">
        <v>871</v>
      </c>
      <c r="C585" s="740"/>
      <c r="D585" s="740"/>
      <c r="E585" s="741"/>
      <c r="F585" s="310">
        <f>47.5*X2</f>
        <v>52155</v>
      </c>
      <c r="G585" s="279">
        <f t="shared" si="1740"/>
        <v>52155</v>
      </c>
      <c r="H585" s="99">
        <f t="shared" si="1741"/>
        <v>57155</v>
      </c>
      <c r="I585" s="308">
        <f t="shared" si="1742"/>
        <v>57155</v>
      </c>
      <c r="J585" s="99">
        <f t="shared" si="1743"/>
        <v>53155</v>
      </c>
      <c r="K585" s="308">
        <f t="shared" si="1744"/>
        <v>53155</v>
      </c>
      <c r="L585" s="99">
        <f t="shared" si="1745"/>
        <v>52955</v>
      </c>
      <c r="M585" s="308">
        <f t="shared" si="1746"/>
        <v>52955</v>
      </c>
      <c r="N585" s="99">
        <f t="shared" si="1747"/>
        <v>52855</v>
      </c>
      <c r="O585" s="308">
        <f t="shared" si="1748"/>
        <v>52855</v>
      </c>
      <c r="P585" s="99">
        <f t="shared" si="1749"/>
        <v>52755</v>
      </c>
      <c r="Q585" s="308">
        <f t="shared" si="1750"/>
        <v>52755</v>
      </c>
      <c r="R585" s="99">
        <f t="shared" si="1751"/>
        <v>52655</v>
      </c>
      <c r="S585" s="308">
        <f t="shared" si="1752"/>
        <v>52655</v>
      </c>
      <c r="T585" s="99">
        <f t="shared" si="1753"/>
        <v>52605</v>
      </c>
      <c r="U585" s="308">
        <f t="shared" si="1754"/>
        <v>52605</v>
      </c>
      <c r="V585" s="99">
        <f t="shared" si="1755"/>
        <v>52515</v>
      </c>
      <c r="W585" s="308">
        <f t="shared" si="1756"/>
        <v>52515</v>
      </c>
      <c r="X585" s="136"/>
      <c r="Y585" s="131"/>
      <c r="Z585" s="137"/>
      <c r="AA585" s="138"/>
      <c r="AB585" s="385">
        <v>613</v>
      </c>
    </row>
    <row r="586" spans="1:28" ht="12" customHeight="1" x14ac:dyDescent="0.2">
      <c r="A586" s="4"/>
      <c r="B586" s="742" t="s">
        <v>602</v>
      </c>
      <c r="C586" s="743"/>
      <c r="D586" s="743"/>
      <c r="E586" s="744"/>
      <c r="F586" s="367">
        <f>5.6*X2</f>
        <v>6148.7999999999993</v>
      </c>
      <c r="G586" s="278">
        <f t="shared" ref="G586" si="1757">+F586*$X$1</f>
        <v>6148.7999999999993</v>
      </c>
      <c r="H586" s="100">
        <f t="shared" si="1741"/>
        <v>11148.8</v>
      </c>
      <c r="I586" s="295">
        <f t="shared" si="1742"/>
        <v>11148.8</v>
      </c>
      <c r="J586" s="100">
        <f t="shared" si="1743"/>
        <v>7148.7999999999993</v>
      </c>
      <c r="K586" s="295">
        <f t="shared" si="1744"/>
        <v>7148.7999999999993</v>
      </c>
      <c r="L586" s="100">
        <f t="shared" si="1745"/>
        <v>6948.7999999999993</v>
      </c>
      <c r="M586" s="295">
        <f t="shared" si="1746"/>
        <v>6948.7999999999993</v>
      </c>
      <c r="N586" s="100">
        <f t="shared" si="1747"/>
        <v>6848.7999999999993</v>
      </c>
      <c r="O586" s="295">
        <f t="shared" si="1748"/>
        <v>6848.7999999999993</v>
      </c>
      <c r="P586" s="100">
        <f t="shared" si="1749"/>
        <v>6748.7999999999993</v>
      </c>
      <c r="Q586" s="295">
        <f t="shared" si="1750"/>
        <v>6748.7999999999993</v>
      </c>
      <c r="R586" s="100">
        <f t="shared" si="1751"/>
        <v>6648.7999999999993</v>
      </c>
      <c r="S586" s="295">
        <f t="shared" si="1752"/>
        <v>6648.7999999999993</v>
      </c>
      <c r="T586" s="100">
        <f t="shared" si="1753"/>
        <v>6598.7999999999993</v>
      </c>
      <c r="U586" s="295">
        <f t="shared" si="1754"/>
        <v>6598.7999999999993</v>
      </c>
      <c r="V586" s="100">
        <f t="shared" si="1755"/>
        <v>6508.7999999999993</v>
      </c>
      <c r="W586" s="295">
        <f t="shared" si="1756"/>
        <v>6508.7999999999993</v>
      </c>
      <c r="X586" s="136"/>
      <c r="Y586" s="131"/>
      <c r="Z586" s="137"/>
      <c r="AA586" s="138"/>
      <c r="AB586" s="189">
        <v>642</v>
      </c>
    </row>
    <row r="587" spans="1:28" ht="12" customHeight="1" x14ac:dyDescent="0.2">
      <c r="A587" s="4"/>
      <c r="B587" s="739" t="s">
        <v>603</v>
      </c>
      <c r="C587" s="740"/>
      <c r="D587" s="740"/>
      <c r="E587" s="741"/>
      <c r="F587" s="366">
        <f>22.9*X2</f>
        <v>25144.199999999997</v>
      </c>
      <c r="G587" s="279">
        <f t="shared" ref="G587" si="1758">+F587*$X$1</f>
        <v>25144.199999999997</v>
      </c>
      <c r="H587" s="99">
        <f t="shared" si="1741"/>
        <v>30144.199999999997</v>
      </c>
      <c r="I587" s="308">
        <f t="shared" si="1742"/>
        <v>30144.199999999997</v>
      </c>
      <c r="J587" s="99">
        <f t="shared" si="1743"/>
        <v>26144.199999999997</v>
      </c>
      <c r="K587" s="308">
        <f t="shared" si="1744"/>
        <v>26144.199999999997</v>
      </c>
      <c r="L587" s="99">
        <f t="shared" si="1745"/>
        <v>25944.199999999997</v>
      </c>
      <c r="M587" s="308">
        <f t="shared" si="1746"/>
        <v>25944.199999999997</v>
      </c>
      <c r="N587" s="99">
        <f t="shared" si="1747"/>
        <v>25844.199999999997</v>
      </c>
      <c r="O587" s="308">
        <f t="shared" si="1748"/>
        <v>25844.199999999997</v>
      </c>
      <c r="P587" s="99">
        <f t="shared" si="1749"/>
        <v>25744.199999999997</v>
      </c>
      <c r="Q587" s="308">
        <f t="shared" si="1750"/>
        <v>25744.199999999997</v>
      </c>
      <c r="R587" s="99">
        <f t="shared" si="1751"/>
        <v>25644.199999999997</v>
      </c>
      <c r="S587" s="308">
        <f t="shared" si="1752"/>
        <v>25644.199999999997</v>
      </c>
      <c r="T587" s="99">
        <f t="shared" si="1753"/>
        <v>25594.199999999997</v>
      </c>
      <c r="U587" s="308">
        <f t="shared" si="1754"/>
        <v>25594.199999999997</v>
      </c>
      <c r="V587" s="99">
        <f t="shared" si="1755"/>
        <v>25504.199999999997</v>
      </c>
      <c r="W587" s="308">
        <f t="shared" si="1756"/>
        <v>25504.199999999997</v>
      </c>
      <c r="X587" s="136"/>
      <c r="Y587" s="131"/>
      <c r="Z587" s="137"/>
      <c r="AA587" s="138"/>
      <c r="AB587" s="189">
        <v>643</v>
      </c>
    </row>
    <row r="588" spans="1:28" ht="12" customHeight="1" x14ac:dyDescent="0.2">
      <c r="A588" s="4"/>
      <c r="B588" s="742" t="s">
        <v>723</v>
      </c>
      <c r="C588" s="743"/>
      <c r="D588" s="743"/>
      <c r="E588" s="744"/>
      <c r="F588" s="364">
        <f>42.34*X2</f>
        <v>46489.320000000007</v>
      </c>
      <c r="G588" s="278">
        <f>+F588*$X$1</f>
        <v>46489.320000000007</v>
      </c>
      <c r="H588" s="100">
        <f t="shared" si="1741"/>
        <v>51489.320000000007</v>
      </c>
      <c r="I588" s="295">
        <f t="shared" si="1742"/>
        <v>51489.320000000007</v>
      </c>
      <c r="J588" s="100">
        <f t="shared" si="1743"/>
        <v>47489.320000000007</v>
      </c>
      <c r="K588" s="295">
        <f t="shared" si="1744"/>
        <v>47489.320000000007</v>
      </c>
      <c r="L588" s="100">
        <f t="shared" si="1745"/>
        <v>47289.320000000007</v>
      </c>
      <c r="M588" s="295">
        <f t="shared" si="1746"/>
        <v>47289.320000000007</v>
      </c>
      <c r="N588" s="100">
        <f t="shared" si="1747"/>
        <v>47189.320000000007</v>
      </c>
      <c r="O588" s="295">
        <f t="shared" si="1748"/>
        <v>47189.320000000007</v>
      </c>
      <c r="P588" s="100">
        <f t="shared" si="1749"/>
        <v>47089.320000000007</v>
      </c>
      <c r="Q588" s="295">
        <f t="shared" si="1750"/>
        <v>47089.320000000007</v>
      </c>
      <c r="R588" s="100">
        <f t="shared" si="1751"/>
        <v>46989.320000000007</v>
      </c>
      <c r="S588" s="295">
        <f t="shared" si="1752"/>
        <v>46989.320000000007</v>
      </c>
      <c r="T588" s="100">
        <f t="shared" si="1753"/>
        <v>46939.320000000007</v>
      </c>
      <c r="U588" s="295">
        <f t="shared" si="1754"/>
        <v>46939.320000000007</v>
      </c>
      <c r="V588" s="100">
        <f t="shared" si="1755"/>
        <v>46849.320000000007</v>
      </c>
      <c r="W588" s="295">
        <f t="shared" si="1756"/>
        <v>46849.320000000007</v>
      </c>
      <c r="X588" s="136"/>
      <c r="Y588" s="131"/>
      <c r="Z588" s="137"/>
      <c r="AA588" s="138"/>
      <c r="AB588" s="385">
        <v>657</v>
      </c>
    </row>
    <row r="589" spans="1:28" ht="12" customHeight="1" x14ac:dyDescent="0.2">
      <c r="A589" s="4"/>
      <c r="B589" s="739" t="s">
        <v>724</v>
      </c>
      <c r="C589" s="740"/>
      <c r="D589" s="740"/>
      <c r="E589" s="741"/>
      <c r="F589" s="365">
        <f>36.05*X2</f>
        <v>39582.899999999994</v>
      </c>
      <c r="G589" s="279">
        <f t="shared" ref="G589:G591" si="1759">+F589*$X$1</f>
        <v>39582.899999999994</v>
      </c>
      <c r="H589" s="99">
        <f t="shared" si="1741"/>
        <v>44582.899999999994</v>
      </c>
      <c r="I589" s="308">
        <f t="shared" si="1742"/>
        <v>44582.899999999994</v>
      </c>
      <c r="J589" s="99">
        <f t="shared" si="1743"/>
        <v>40582.899999999994</v>
      </c>
      <c r="K589" s="308">
        <f t="shared" si="1744"/>
        <v>40582.899999999994</v>
      </c>
      <c r="L589" s="99">
        <f t="shared" si="1745"/>
        <v>40382.899999999994</v>
      </c>
      <c r="M589" s="308">
        <f t="shared" si="1746"/>
        <v>40382.899999999994</v>
      </c>
      <c r="N589" s="99">
        <f t="shared" si="1747"/>
        <v>40282.899999999994</v>
      </c>
      <c r="O589" s="308">
        <f t="shared" si="1748"/>
        <v>40282.899999999994</v>
      </c>
      <c r="P589" s="99">
        <f t="shared" si="1749"/>
        <v>40182.899999999994</v>
      </c>
      <c r="Q589" s="308">
        <f t="shared" si="1750"/>
        <v>40182.899999999994</v>
      </c>
      <c r="R589" s="99">
        <f t="shared" si="1751"/>
        <v>40082.899999999994</v>
      </c>
      <c r="S589" s="308">
        <f t="shared" si="1752"/>
        <v>40082.899999999994</v>
      </c>
      <c r="T589" s="99">
        <f t="shared" si="1753"/>
        <v>40032.899999999994</v>
      </c>
      <c r="U589" s="308">
        <f t="shared" si="1754"/>
        <v>40032.899999999994</v>
      </c>
      <c r="V589" s="99">
        <f t="shared" si="1755"/>
        <v>39942.899999999994</v>
      </c>
      <c r="W589" s="308">
        <f t="shared" si="1756"/>
        <v>39942.899999999994</v>
      </c>
      <c r="X589" s="136"/>
      <c r="Y589" s="131"/>
      <c r="Z589" s="137"/>
      <c r="AA589" s="138"/>
      <c r="AB589" s="385">
        <v>658</v>
      </c>
    </row>
    <row r="590" spans="1:28" ht="12" customHeight="1" x14ac:dyDescent="0.2">
      <c r="A590" s="4"/>
      <c r="B590" s="742" t="s">
        <v>725</v>
      </c>
      <c r="C590" s="743"/>
      <c r="D590" s="743"/>
      <c r="E590" s="744"/>
      <c r="F590" s="364">
        <f>28.5*X2</f>
        <v>31293</v>
      </c>
      <c r="G590" s="278">
        <f t="shared" si="1759"/>
        <v>31293</v>
      </c>
      <c r="H590" s="100">
        <f t="shared" si="1741"/>
        <v>36293</v>
      </c>
      <c r="I590" s="295">
        <f t="shared" si="1742"/>
        <v>36293</v>
      </c>
      <c r="J590" s="100">
        <f t="shared" si="1743"/>
        <v>32293</v>
      </c>
      <c r="K590" s="295">
        <f t="shared" si="1744"/>
        <v>32293</v>
      </c>
      <c r="L590" s="100">
        <f t="shared" si="1745"/>
        <v>32093</v>
      </c>
      <c r="M590" s="295">
        <f t="shared" si="1746"/>
        <v>32093</v>
      </c>
      <c r="N590" s="100">
        <f t="shared" si="1747"/>
        <v>31993</v>
      </c>
      <c r="O590" s="295">
        <f t="shared" si="1748"/>
        <v>31993</v>
      </c>
      <c r="P590" s="100">
        <f t="shared" si="1749"/>
        <v>31893</v>
      </c>
      <c r="Q590" s="295">
        <f t="shared" si="1750"/>
        <v>31893</v>
      </c>
      <c r="R590" s="100">
        <f t="shared" si="1751"/>
        <v>31793</v>
      </c>
      <c r="S590" s="295">
        <f t="shared" si="1752"/>
        <v>31793</v>
      </c>
      <c r="T590" s="100">
        <f t="shared" si="1753"/>
        <v>31743</v>
      </c>
      <c r="U590" s="295">
        <f t="shared" si="1754"/>
        <v>31743</v>
      </c>
      <c r="V590" s="100">
        <f t="shared" si="1755"/>
        <v>31653</v>
      </c>
      <c r="W590" s="295">
        <f t="shared" si="1756"/>
        <v>31653</v>
      </c>
      <c r="X590" s="136"/>
      <c r="Y590" s="131"/>
      <c r="Z590" s="137"/>
      <c r="AA590" s="138"/>
      <c r="AB590" s="385">
        <v>659</v>
      </c>
    </row>
    <row r="591" spans="1:28" ht="12" customHeight="1" x14ac:dyDescent="0.2">
      <c r="A591" s="4"/>
      <c r="B591" s="739" t="s">
        <v>726</v>
      </c>
      <c r="C591" s="740"/>
      <c r="D591" s="740"/>
      <c r="E591" s="741"/>
      <c r="F591" s="365">
        <f>12.9*X2</f>
        <v>14164.2</v>
      </c>
      <c r="G591" s="279">
        <f t="shared" si="1759"/>
        <v>14164.2</v>
      </c>
      <c r="H591" s="99">
        <f t="shared" si="1741"/>
        <v>19164.2</v>
      </c>
      <c r="I591" s="308">
        <f t="shared" si="1742"/>
        <v>19164.2</v>
      </c>
      <c r="J591" s="99">
        <f t="shared" si="1743"/>
        <v>15164.2</v>
      </c>
      <c r="K591" s="308">
        <f t="shared" si="1744"/>
        <v>15164.2</v>
      </c>
      <c r="L591" s="99">
        <f t="shared" si="1745"/>
        <v>14964.2</v>
      </c>
      <c r="M591" s="308">
        <f t="shared" si="1746"/>
        <v>14964.2</v>
      </c>
      <c r="N591" s="99">
        <f t="shared" si="1747"/>
        <v>14864.2</v>
      </c>
      <c r="O591" s="308">
        <f t="shared" si="1748"/>
        <v>14864.2</v>
      </c>
      <c r="P591" s="99">
        <f t="shared" si="1749"/>
        <v>14764.2</v>
      </c>
      <c r="Q591" s="308">
        <f t="shared" si="1750"/>
        <v>14764.2</v>
      </c>
      <c r="R591" s="99">
        <f t="shared" si="1751"/>
        <v>14664.2</v>
      </c>
      <c r="S591" s="308">
        <f t="shared" si="1752"/>
        <v>14664.2</v>
      </c>
      <c r="T591" s="99">
        <f t="shared" si="1753"/>
        <v>14614.2</v>
      </c>
      <c r="U591" s="308">
        <f t="shared" si="1754"/>
        <v>14614.2</v>
      </c>
      <c r="V591" s="99">
        <f t="shared" si="1755"/>
        <v>14524.2</v>
      </c>
      <c r="W591" s="308">
        <f t="shared" si="1756"/>
        <v>14524.2</v>
      </c>
      <c r="X591" s="136"/>
      <c r="Y591" s="131"/>
      <c r="Z591" s="137"/>
      <c r="AA591" s="138"/>
      <c r="AB591" s="385">
        <v>660</v>
      </c>
    </row>
    <row r="592" spans="1:28" ht="12" customHeight="1" x14ac:dyDescent="0.2">
      <c r="A592" s="4"/>
      <c r="B592" s="742" t="s">
        <v>583</v>
      </c>
      <c r="C592" s="743"/>
      <c r="D592" s="743"/>
      <c r="E592" s="744"/>
      <c r="F592" s="319">
        <v>35500</v>
      </c>
      <c r="G592" s="278">
        <f t="shared" ref="G592:G599" si="1760">+F592*$X$1</f>
        <v>35500</v>
      </c>
      <c r="H592" s="100"/>
      <c r="I592" s="295"/>
      <c r="J592" s="100"/>
      <c r="K592" s="295"/>
      <c r="L592" s="100">
        <f t="shared" si="1745"/>
        <v>36300</v>
      </c>
      <c r="M592" s="295">
        <f t="shared" si="1746"/>
        <v>36300</v>
      </c>
      <c r="N592" s="100">
        <f t="shared" si="1747"/>
        <v>36200</v>
      </c>
      <c r="O592" s="295">
        <f t="shared" si="1748"/>
        <v>36200</v>
      </c>
      <c r="P592" s="100">
        <f t="shared" si="1749"/>
        <v>36100</v>
      </c>
      <c r="Q592" s="295">
        <f t="shared" si="1750"/>
        <v>36100</v>
      </c>
      <c r="R592" s="100">
        <f t="shared" si="1751"/>
        <v>36000</v>
      </c>
      <c r="S592" s="295">
        <f t="shared" si="1752"/>
        <v>36000</v>
      </c>
      <c r="T592" s="100">
        <f t="shared" si="1753"/>
        <v>35950</v>
      </c>
      <c r="U592" s="295">
        <f t="shared" si="1754"/>
        <v>35950</v>
      </c>
      <c r="V592" s="100">
        <f t="shared" si="1755"/>
        <v>35860</v>
      </c>
      <c r="W592" s="295">
        <f t="shared" si="1756"/>
        <v>35860</v>
      </c>
      <c r="X592" s="136"/>
      <c r="Y592" s="131"/>
      <c r="Z592" s="137"/>
      <c r="AA592" s="138"/>
      <c r="AB592" s="385">
        <v>664</v>
      </c>
    </row>
    <row r="593" spans="1:28" ht="12" customHeight="1" x14ac:dyDescent="0.2">
      <c r="A593" s="4"/>
      <c r="B593" s="739" t="s">
        <v>748</v>
      </c>
      <c r="C593" s="740"/>
      <c r="D593" s="740"/>
      <c r="E593" s="741"/>
      <c r="F593" s="365">
        <f>18.4*X2</f>
        <v>20203.199999999997</v>
      </c>
      <c r="G593" s="279">
        <f t="shared" si="1760"/>
        <v>20203.199999999997</v>
      </c>
      <c r="H593" s="99">
        <f t="shared" si="1741"/>
        <v>25203.199999999997</v>
      </c>
      <c r="I593" s="308">
        <f t="shared" si="1742"/>
        <v>25203.199999999997</v>
      </c>
      <c r="J593" s="99">
        <f t="shared" si="1743"/>
        <v>21203.199999999997</v>
      </c>
      <c r="K593" s="308">
        <f t="shared" si="1744"/>
        <v>21203.199999999997</v>
      </c>
      <c r="L593" s="99">
        <f t="shared" si="1745"/>
        <v>21003.199999999997</v>
      </c>
      <c r="M593" s="308">
        <f t="shared" si="1746"/>
        <v>21003.199999999997</v>
      </c>
      <c r="N593" s="99">
        <f t="shared" si="1747"/>
        <v>20903.199999999997</v>
      </c>
      <c r="O593" s="308">
        <f t="shared" si="1748"/>
        <v>20903.199999999997</v>
      </c>
      <c r="P593" s="99">
        <f t="shared" si="1749"/>
        <v>20803.199999999997</v>
      </c>
      <c r="Q593" s="308">
        <f t="shared" si="1750"/>
        <v>20803.199999999997</v>
      </c>
      <c r="R593" s="99">
        <f t="shared" si="1751"/>
        <v>20703.199999999997</v>
      </c>
      <c r="S593" s="308">
        <f t="shared" si="1752"/>
        <v>20703.199999999997</v>
      </c>
      <c r="T593" s="99">
        <f t="shared" si="1753"/>
        <v>20653.199999999997</v>
      </c>
      <c r="U593" s="308">
        <f t="shared" si="1754"/>
        <v>20653.199999999997</v>
      </c>
      <c r="V593" s="99">
        <f t="shared" si="1755"/>
        <v>20563.199999999997</v>
      </c>
      <c r="W593" s="308">
        <f t="shared" si="1756"/>
        <v>20563.199999999997</v>
      </c>
      <c r="X593" s="136"/>
      <c r="Y593" s="131"/>
      <c r="Z593" s="137"/>
      <c r="AA593" s="138"/>
      <c r="AB593" s="385">
        <v>667</v>
      </c>
    </row>
    <row r="594" spans="1:28" ht="12" customHeight="1" x14ac:dyDescent="0.2">
      <c r="A594" s="4"/>
      <c r="B594" s="742" t="s">
        <v>747</v>
      </c>
      <c r="C594" s="743"/>
      <c r="D594" s="743"/>
      <c r="E594" s="744"/>
      <c r="F594" s="364">
        <f>15*X2</f>
        <v>16470</v>
      </c>
      <c r="G594" s="278">
        <f t="shared" ref="G594:G596" si="1761">+F594*$X$1</f>
        <v>16470</v>
      </c>
      <c r="H594" s="100">
        <f t="shared" si="1741"/>
        <v>21470</v>
      </c>
      <c r="I594" s="295">
        <f t="shared" si="1742"/>
        <v>21470</v>
      </c>
      <c r="J594" s="100">
        <f t="shared" si="1743"/>
        <v>17470</v>
      </c>
      <c r="K594" s="295">
        <f t="shared" si="1744"/>
        <v>17470</v>
      </c>
      <c r="L594" s="100">
        <f t="shared" si="1745"/>
        <v>17270</v>
      </c>
      <c r="M594" s="295">
        <f t="shared" si="1746"/>
        <v>17270</v>
      </c>
      <c r="N594" s="100">
        <f t="shared" si="1747"/>
        <v>17170</v>
      </c>
      <c r="O594" s="295">
        <f t="shared" si="1748"/>
        <v>17170</v>
      </c>
      <c r="P594" s="100">
        <f t="shared" si="1749"/>
        <v>17070</v>
      </c>
      <c r="Q594" s="295">
        <f t="shared" si="1750"/>
        <v>17070</v>
      </c>
      <c r="R594" s="100">
        <f t="shared" si="1751"/>
        <v>16970</v>
      </c>
      <c r="S594" s="295">
        <f t="shared" si="1752"/>
        <v>16970</v>
      </c>
      <c r="T594" s="100">
        <f t="shared" si="1753"/>
        <v>16920</v>
      </c>
      <c r="U594" s="295">
        <f t="shared" si="1754"/>
        <v>16920</v>
      </c>
      <c r="V594" s="100">
        <f t="shared" si="1755"/>
        <v>16830</v>
      </c>
      <c r="W594" s="295">
        <f t="shared" si="1756"/>
        <v>16830</v>
      </c>
      <c r="X594" s="136"/>
      <c r="Y594" s="131"/>
      <c r="Z594" s="137"/>
      <c r="AA594" s="138"/>
      <c r="AB594" s="385">
        <v>668</v>
      </c>
    </row>
    <row r="595" spans="1:28" ht="12" customHeight="1" x14ac:dyDescent="0.2">
      <c r="A595" s="4"/>
      <c r="B595" s="739" t="s">
        <v>825</v>
      </c>
      <c r="C595" s="740"/>
      <c r="D595" s="740"/>
      <c r="E595" s="741"/>
      <c r="F595" s="365">
        <f>15.28*X2</f>
        <v>16777.439999999999</v>
      </c>
      <c r="G595" s="279">
        <f t="shared" si="1761"/>
        <v>16777.439999999999</v>
      </c>
      <c r="H595" s="99">
        <f t="shared" si="1741"/>
        <v>21777.439999999999</v>
      </c>
      <c r="I595" s="308">
        <f t="shared" si="1742"/>
        <v>21777.439999999999</v>
      </c>
      <c r="J595" s="99">
        <f t="shared" si="1743"/>
        <v>17777.439999999999</v>
      </c>
      <c r="K595" s="308">
        <f t="shared" si="1744"/>
        <v>17777.439999999999</v>
      </c>
      <c r="L595" s="99">
        <f t="shared" si="1745"/>
        <v>17577.439999999999</v>
      </c>
      <c r="M595" s="308">
        <f t="shared" si="1746"/>
        <v>17577.439999999999</v>
      </c>
      <c r="N595" s="99">
        <f t="shared" si="1747"/>
        <v>17477.439999999999</v>
      </c>
      <c r="O595" s="308">
        <f t="shared" si="1748"/>
        <v>17477.439999999999</v>
      </c>
      <c r="P595" s="99">
        <f t="shared" si="1749"/>
        <v>17377.439999999999</v>
      </c>
      <c r="Q595" s="308">
        <f t="shared" si="1750"/>
        <v>17377.439999999999</v>
      </c>
      <c r="R595" s="99">
        <f t="shared" si="1751"/>
        <v>17277.439999999999</v>
      </c>
      <c r="S595" s="308">
        <f t="shared" si="1752"/>
        <v>17277.439999999999</v>
      </c>
      <c r="T595" s="99">
        <f t="shared" si="1753"/>
        <v>17227.439999999999</v>
      </c>
      <c r="U595" s="308">
        <f t="shared" si="1754"/>
        <v>17227.439999999999</v>
      </c>
      <c r="V595" s="99">
        <f t="shared" si="1755"/>
        <v>17137.439999999999</v>
      </c>
      <c r="W595" s="308">
        <f t="shared" si="1756"/>
        <v>17137.439999999999</v>
      </c>
      <c r="X595" s="136"/>
      <c r="Y595" s="131"/>
      <c r="Z595" s="137"/>
      <c r="AA595" s="138"/>
      <c r="AB595" s="189">
        <v>675</v>
      </c>
    </row>
    <row r="596" spans="1:28" ht="12" customHeight="1" x14ac:dyDescent="0.2">
      <c r="A596" s="4"/>
      <c r="B596" s="742" t="s">
        <v>870</v>
      </c>
      <c r="C596" s="743"/>
      <c r="D596" s="743"/>
      <c r="E596" s="744"/>
      <c r="F596" s="364">
        <f>12.72*X2</f>
        <v>13966.560000000001</v>
      </c>
      <c r="G596" s="278">
        <f t="shared" si="1761"/>
        <v>13966.560000000001</v>
      </c>
      <c r="H596" s="100">
        <f t="shared" si="1741"/>
        <v>18966.560000000001</v>
      </c>
      <c r="I596" s="295">
        <f t="shared" si="1742"/>
        <v>18966.560000000001</v>
      </c>
      <c r="J596" s="100">
        <f t="shared" si="1743"/>
        <v>14966.560000000001</v>
      </c>
      <c r="K596" s="295">
        <f t="shared" si="1744"/>
        <v>14966.560000000001</v>
      </c>
      <c r="L596" s="100">
        <f t="shared" si="1745"/>
        <v>14766.560000000001</v>
      </c>
      <c r="M596" s="295">
        <f t="shared" si="1746"/>
        <v>14766.560000000001</v>
      </c>
      <c r="N596" s="100">
        <f t="shared" si="1747"/>
        <v>14666.560000000001</v>
      </c>
      <c r="O596" s="295">
        <f t="shared" si="1748"/>
        <v>14666.560000000001</v>
      </c>
      <c r="P596" s="100">
        <f t="shared" si="1749"/>
        <v>14566.560000000001</v>
      </c>
      <c r="Q596" s="295">
        <f t="shared" si="1750"/>
        <v>14566.560000000001</v>
      </c>
      <c r="R596" s="100">
        <f t="shared" si="1751"/>
        <v>14466.560000000001</v>
      </c>
      <c r="S596" s="295">
        <f t="shared" si="1752"/>
        <v>14466.560000000001</v>
      </c>
      <c r="T596" s="100">
        <f t="shared" si="1753"/>
        <v>14416.560000000001</v>
      </c>
      <c r="U596" s="295">
        <f t="shared" si="1754"/>
        <v>14416.560000000001</v>
      </c>
      <c r="V596" s="100">
        <f t="shared" si="1755"/>
        <v>14326.560000000001</v>
      </c>
      <c r="W596" s="295">
        <f t="shared" si="1756"/>
        <v>14326.560000000001</v>
      </c>
      <c r="X596" s="136"/>
      <c r="Y596" s="131"/>
      <c r="Z596" s="137"/>
      <c r="AA596" s="138"/>
      <c r="AB596" s="189">
        <v>682</v>
      </c>
    </row>
    <row r="597" spans="1:28" ht="12" customHeight="1" x14ac:dyDescent="0.2">
      <c r="A597" s="4"/>
      <c r="B597" s="739" t="s">
        <v>505</v>
      </c>
      <c r="C597" s="740"/>
      <c r="D597" s="740"/>
      <c r="E597" s="741"/>
      <c r="F597" s="365">
        <f>10.4*X2</f>
        <v>11419.2</v>
      </c>
      <c r="G597" s="279">
        <f t="shared" si="1760"/>
        <v>11419.2</v>
      </c>
      <c r="H597" s="99">
        <f t="shared" si="1741"/>
        <v>16419.2</v>
      </c>
      <c r="I597" s="308">
        <f t="shared" si="1742"/>
        <v>16419.2</v>
      </c>
      <c r="J597" s="99">
        <f t="shared" si="1743"/>
        <v>12419.2</v>
      </c>
      <c r="K597" s="308">
        <f t="shared" si="1744"/>
        <v>12419.2</v>
      </c>
      <c r="L597" s="99">
        <f t="shared" si="1745"/>
        <v>12219.2</v>
      </c>
      <c r="M597" s="308">
        <f t="shared" si="1746"/>
        <v>12219.2</v>
      </c>
      <c r="N597" s="99">
        <f t="shared" si="1747"/>
        <v>12119.2</v>
      </c>
      <c r="O597" s="308">
        <f t="shared" si="1748"/>
        <v>12119.2</v>
      </c>
      <c r="P597" s="99">
        <f t="shared" si="1749"/>
        <v>12019.2</v>
      </c>
      <c r="Q597" s="308">
        <f t="shared" si="1750"/>
        <v>12019.2</v>
      </c>
      <c r="R597" s="99">
        <f t="shared" si="1751"/>
        <v>11919.2</v>
      </c>
      <c r="S597" s="308">
        <f t="shared" si="1752"/>
        <v>11919.2</v>
      </c>
      <c r="T597" s="99">
        <f t="shared" si="1753"/>
        <v>11869.2</v>
      </c>
      <c r="U597" s="308">
        <f t="shared" si="1754"/>
        <v>11869.2</v>
      </c>
      <c r="V597" s="99">
        <f t="shared" si="1755"/>
        <v>11779.2</v>
      </c>
      <c r="W597" s="308">
        <f t="shared" si="1756"/>
        <v>11779.2</v>
      </c>
      <c r="X597" s="136"/>
      <c r="Y597" s="131"/>
      <c r="Z597" s="137"/>
      <c r="AA597" s="138"/>
      <c r="AB597" s="189">
        <v>686</v>
      </c>
    </row>
    <row r="598" spans="1:28" ht="12" customHeight="1" x14ac:dyDescent="0.2">
      <c r="A598" s="4"/>
      <c r="B598" s="742" t="s">
        <v>545</v>
      </c>
      <c r="C598" s="743"/>
      <c r="D598" s="743"/>
      <c r="E598" s="744"/>
      <c r="F598" s="367">
        <f>32*X2</f>
        <v>35136</v>
      </c>
      <c r="G598" s="278">
        <f t="shared" si="1760"/>
        <v>35136</v>
      </c>
      <c r="H598" s="100">
        <f t="shared" si="1741"/>
        <v>40136</v>
      </c>
      <c r="I598" s="295">
        <f t="shared" si="1742"/>
        <v>40136</v>
      </c>
      <c r="J598" s="100">
        <f t="shared" si="1743"/>
        <v>36136</v>
      </c>
      <c r="K598" s="295">
        <f t="shared" si="1744"/>
        <v>36136</v>
      </c>
      <c r="L598" s="100">
        <f t="shared" si="1745"/>
        <v>35936</v>
      </c>
      <c r="M598" s="295">
        <f t="shared" si="1746"/>
        <v>35936</v>
      </c>
      <c r="N598" s="100">
        <f t="shared" si="1747"/>
        <v>35836</v>
      </c>
      <c r="O598" s="295">
        <f t="shared" si="1748"/>
        <v>35836</v>
      </c>
      <c r="P598" s="100">
        <f t="shared" si="1749"/>
        <v>35736</v>
      </c>
      <c r="Q598" s="295">
        <f t="shared" si="1750"/>
        <v>35736</v>
      </c>
      <c r="R598" s="100">
        <f t="shared" si="1751"/>
        <v>35636</v>
      </c>
      <c r="S598" s="295">
        <f t="shared" si="1752"/>
        <v>35636</v>
      </c>
      <c r="T598" s="100">
        <f t="shared" si="1753"/>
        <v>35586</v>
      </c>
      <c r="U598" s="295">
        <f t="shared" si="1754"/>
        <v>35586</v>
      </c>
      <c r="V598" s="100">
        <f t="shared" si="1755"/>
        <v>35496</v>
      </c>
      <c r="W598" s="295">
        <f t="shared" si="1756"/>
        <v>35496</v>
      </c>
      <c r="X598" s="136"/>
      <c r="Y598" s="131"/>
      <c r="Z598" s="137"/>
      <c r="AA598" s="138"/>
      <c r="AB598" s="385">
        <v>687</v>
      </c>
    </row>
    <row r="599" spans="1:28" ht="12" customHeight="1" x14ac:dyDescent="0.2">
      <c r="A599" s="4"/>
      <c r="B599" s="739" t="s">
        <v>727</v>
      </c>
      <c r="C599" s="740"/>
      <c r="D599" s="740"/>
      <c r="E599" s="741"/>
      <c r="F599" s="366">
        <f>17*X2</f>
        <v>18666</v>
      </c>
      <c r="G599" s="279">
        <f t="shared" si="1760"/>
        <v>18666</v>
      </c>
      <c r="H599" s="99">
        <f t="shared" si="1741"/>
        <v>23666</v>
      </c>
      <c r="I599" s="308">
        <f t="shared" si="1742"/>
        <v>23666</v>
      </c>
      <c r="J599" s="99">
        <f t="shared" si="1743"/>
        <v>19666</v>
      </c>
      <c r="K599" s="308">
        <f t="shared" si="1744"/>
        <v>19666</v>
      </c>
      <c r="L599" s="99">
        <f t="shared" si="1745"/>
        <v>19466</v>
      </c>
      <c r="M599" s="308">
        <f t="shared" si="1746"/>
        <v>19466</v>
      </c>
      <c r="N599" s="99">
        <f t="shared" si="1747"/>
        <v>19366</v>
      </c>
      <c r="O599" s="308">
        <f t="shared" si="1748"/>
        <v>19366</v>
      </c>
      <c r="P599" s="99">
        <f t="shared" si="1749"/>
        <v>19266</v>
      </c>
      <c r="Q599" s="308">
        <f t="shared" si="1750"/>
        <v>19266</v>
      </c>
      <c r="R599" s="99">
        <f t="shared" si="1751"/>
        <v>19166</v>
      </c>
      <c r="S599" s="308">
        <f t="shared" si="1752"/>
        <v>19166</v>
      </c>
      <c r="T599" s="99">
        <f t="shared" si="1753"/>
        <v>19116</v>
      </c>
      <c r="U599" s="308">
        <f t="shared" si="1754"/>
        <v>19116</v>
      </c>
      <c r="V599" s="99">
        <f t="shared" si="1755"/>
        <v>19026</v>
      </c>
      <c r="W599" s="308">
        <f t="shared" si="1756"/>
        <v>19026</v>
      </c>
      <c r="X599" s="136"/>
      <c r="Y599" s="131"/>
      <c r="Z599" s="137"/>
      <c r="AA599" s="138"/>
      <c r="AB599" s="385">
        <v>694</v>
      </c>
    </row>
    <row r="600" spans="1:28" ht="12" customHeight="1" x14ac:dyDescent="0.2">
      <c r="A600" s="4"/>
      <c r="B600" s="742" t="s">
        <v>872</v>
      </c>
      <c r="C600" s="743"/>
      <c r="D600" s="743"/>
      <c r="E600" s="744"/>
      <c r="F600" s="367">
        <f>15*X2</f>
        <v>16470</v>
      </c>
      <c r="G600" s="278">
        <f t="shared" ref="G600" si="1762">+F600*$X$1</f>
        <v>16470</v>
      </c>
      <c r="H600" s="100">
        <f t="shared" si="1741"/>
        <v>21470</v>
      </c>
      <c r="I600" s="295">
        <f t="shared" si="1742"/>
        <v>21470</v>
      </c>
      <c r="J600" s="100">
        <f t="shared" si="1743"/>
        <v>17470</v>
      </c>
      <c r="K600" s="295">
        <f t="shared" si="1744"/>
        <v>17470</v>
      </c>
      <c r="L600" s="100">
        <f t="shared" si="1745"/>
        <v>17270</v>
      </c>
      <c r="M600" s="295">
        <f t="shared" si="1746"/>
        <v>17270</v>
      </c>
      <c r="N600" s="100">
        <f t="shared" si="1747"/>
        <v>17170</v>
      </c>
      <c r="O600" s="295">
        <f t="shared" si="1748"/>
        <v>17170</v>
      </c>
      <c r="P600" s="100">
        <f t="shared" si="1749"/>
        <v>17070</v>
      </c>
      <c r="Q600" s="295">
        <f t="shared" si="1750"/>
        <v>17070</v>
      </c>
      <c r="R600" s="100">
        <f t="shared" si="1751"/>
        <v>16970</v>
      </c>
      <c r="S600" s="295">
        <f t="shared" si="1752"/>
        <v>16970</v>
      </c>
      <c r="T600" s="100">
        <f t="shared" si="1753"/>
        <v>16920</v>
      </c>
      <c r="U600" s="295">
        <f t="shared" si="1754"/>
        <v>16920</v>
      </c>
      <c r="V600" s="100">
        <f t="shared" si="1755"/>
        <v>16830</v>
      </c>
      <c r="W600" s="295">
        <f t="shared" si="1756"/>
        <v>16830</v>
      </c>
      <c r="X600" s="136"/>
      <c r="Y600" s="131"/>
      <c r="Z600" s="137"/>
      <c r="AA600" s="138"/>
      <c r="AB600" s="385">
        <v>696</v>
      </c>
    </row>
    <row r="601" spans="1:28" ht="12" customHeight="1" x14ac:dyDescent="0.2">
      <c r="A601" s="4"/>
      <c r="B601" s="739" t="s">
        <v>728</v>
      </c>
      <c r="C601" s="740"/>
      <c r="D601" s="740"/>
      <c r="E601" s="741"/>
      <c r="F601" s="365">
        <f>37.5*X2</f>
        <v>41175</v>
      </c>
      <c r="G601" s="279">
        <f t="shared" ref="G601" si="1763">+F601*$X$1</f>
        <v>41175</v>
      </c>
      <c r="H601" s="99">
        <f t="shared" si="1741"/>
        <v>46175</v>
      </c>
      <c r="I601" s="308">
        <f t="shared" si="1742"/>
        <v>46175</v>
      </c>
      <c r="J601" s="99">
        <f t="shared" si="1743"/>
        <v>42175</v>
      </c>
      <c r="K601" s="308">
        <f t="shared" si="1744"/>
        <v>42175</v>
      </c>
      <c r="L601" s="99">
        <f t="shared" si="1745"/>
        <v>41975</v>
      </c>
      <c r="M601" s="308">
        <f t="shared" si="1746"/>
        <v>41975</v>
      </c>
      <c r="N601" s="99">
        <f t="shared" si="1747"/>
        <v>41875</v>
      </c>
      <c r="O601" s="308">
        <f t="shared" si="1748"/>
        <v>41875</v>
      </c>
      <c r="P601" s="99">
        <f t="shared" si="1749"/>
        <v>41775</v>
      </c>
      <c r="Q601" s="308">
        <f t="shared" si="1750"/>
        <v>41775</v>
      </c>
      <c r="R601" s="99">
        <f t="shared" si="1751"/>
        <v>41675</v>
      </c>
      <c r="S601" s="308">
        <f t="shared" si="1752"/>
        <v>41675</v>
      </c>
      <c r="T601" s="99">
        <f t="shared" si="1753"/>
        <v>41625</v>
      </c>
      <c r="U601" s="308">
        <f t="shared" si="1754"/>
        <v>41625</v>
      </c>
      <c r="V601" s="99">
        <f t="shared" si="1755"/>
        <v>41535</v>
      </c>
      <c r="W601" s="308">
        <f t="shared" si="1756"/>
        <v>41535</v>
      </c>
      <c r="X601" s="136"/>
      <c r="Y601" s="131"/>
      <c r="Z601" s="137"/>
      <c r="AA601" s="138"/>
      <c r="AB601" s="385">
        <v>698</v>
      </c>
    </row>
    <row r="602" spans="1:28" ht="12" customHeight="1" x14ac:dyDescent="0.2">
      <c r="A602" s="4"/>
      <c r="B602" s="708" t="s">
        <v>988</v>
      </c>
      <c r="C602" s="709"/>
      <c r="D602" s="709"/>
      <c r="E602" s="710"/>
      <c r="F602" s="364">
        <f>48*X2</f>
        <v>52704</v>
      </c>
      <c r="G602" s="278">
        <f>+F602*$X$1</f>
        <v>52704</v>
      </c>
      <c r="H602" s="100">
        <f>F602+7000</f>
        <v>59704</v>
      </c>
      <c r="I602" s="295">
        <f t="shared" ref="I602" si="1764">+H602*$X$1</f>
        <v>59704</v>
      </c>
      <c r="J602" s="100">
        <f>F602+3000</f>
        <v>55704</v>
      </c>
      <c r="K602" s="295">
        <f t="shared" ref="K602" si="1765">+J602*$X$1</f>
        <v>55704</v>
      </c>
      <c r="L602" s="100">
        <f>F602+2400</f>
        <v>55104</v>
      </c>
      <c r="M602" s="295">
        <f t="shared" ref="M602" si="1766">+L602*$X$1</f>
        <v>55104</v>
      </c>
      <c r="N602" s="100">
        <f>F602+2100</f>
        <v>54804</v>
      </c>
      <c r="O602" s="295">
        <f t="shared" ref="O602" si="1767">+N602*$X$1</f>
        <v>54804</v>
      </c>
      <c r="P602" s="100">
        <f>F602+1800</f>
        <v>54504</v>
      </c>
      <c r="Q602" s="295">
        <f t="shared" ref="Q602" si="1768">+P602*$X$1</f>
        <v>54504</v>
      </c>
      <c r="R602" s="100">
        <f>F602+1500</f>
        <v>54204</v>
      </c>
      <c r="S602" s="295">
        <f t="shared" ref="S602" si="1769">+R602*$X$1</f>
        <v>54204</v>
      </c>
      <c r="T602" s="100">
        <f>F602+1350</f>
        <v>54054</v>
      </c>
      <c r="U602" s="295">
        <f t="shared" ref="U602" si="1770">+T602*$X$1</f>
        <v>54054</v>
      </c>
      <c r="V602" s="100">
        <f>F602+1100</f>
        <v>53804</v>
      </c>
      <c r="W602" s="295">
        <f t="shared" ref="W602" si="1771">+V602*$X$1</f>
        <v>53804</v>
      </c>
      <c r="X602" s="136"/>
      <c r="Y602" s="131"/>
      <c r="Z602" s="137"/>
      <c r="AA602" s="138"/>
      <c r="AB602" s="385">
        <v>702</v>
      </c>
    </row>
    <row r="603" spans="1:28" ht="12" customHeight="1" x14ac:dyDescent="0.2">
      <c r="A603" s="4"/>
      <c r="B603" s="708" t="s">
        <v>942</v>
      </c>
      <c r="C603" s="709"/>
      <c r="D603" s="709"/>
      <c r="E603" s="710"/>
      <c r="F603" s="365">
        <f>27.5*X2</f>
        <v>30195</v>
      </c>
      <c r="G603" s="279">
        <f>+F603*$X$1</f>
        <v>30195</v>
      </c>
      <c r="H603" s="99">
        <f t="shared" si="1741"/>
        <v>35195</v>
      </c>
      <c r="I603" s="308">
        <f t="shared" si="1742"/>
        <v>35195</v>
      </c>
      <c r="J603" s="99">
        <f t="shared" si="1743"/>
        <v>31195</v>
      </c>
      <c r="K603" s="308">
        <f t="shared" si="1744"/>
        <v>31195</v>
      </c>
      <c r="L603" s="99">
        <f t="shared" si="1745"/>
        <v>30995</v>
      </c>
      <c r="M603" s="308">
        <f t="shared" si="1746"/>
        <v>30995</v>
      </c>
      <c r="N603" s="99">
        <f t="shared" si="1747"/>
        <v>30895</v>
      </c>
      <c r="O603" s="308">
        <f t="shared" si="1748"/>
        <v>30895</v>
      </c>
      <c r="P603" s="99">
        <f t="shared" si="1749"/>
        <v>30795</v>
      </c>
      <c r="Q603" s="308">
        <f t="shared" si="1750"/>
        <v>30795</v>
      </c>
      <c r="R603" s="99">
        <f t="shared" si="1751"/>
        <v>30695</v>
      </c>
      <c r="S603" s="308">
        <f t="shared" si="1752"/>
        <v>30695</v>
      </c>
      <c r="T603" s="99">
        <f t="shared" si="1753"/>
        <v>30645</v>
      </c>
      <c r="U603" s="308">
        <f t="shared" si="1754"/>
        <v>30645</v>
      </c>
      <c r="V603" s="99">
        <f t="shared" si="1755"/>
        <v>30555</v>
      </c>
      <c r="W603" s="308">
        <f t="shared" si="1756"/>
        <v>30555</v>
      </c>
      <c r="X603" s="136"/>
      <c r="Y603" s="131"/>
      <c r="Z603" s="137"/>
      <c r="AA603" s="138"/>
      <c r="AB603" s="385">
        <v>703</v>
      </c>
    </row>
    <row r="604" spans="1:28" ht="12" customHeight="1" x14ac:dyDescent="0.2">
      <c r="A604" s="4"/>
      <c r="B604" s="708" t="s">
        <v>922</v>
      </c>
      <c r="C604" s="709"/>
      <c r="D604" s="709"/>
      <c r="E604" s="710"/>
      <c r="F604" s="364">
        <f>37.35*X2</f>
        <v>41010.300000000003</v>
      </c>
      <c r="G604" s="278">
        <f>+F604*$X$1</f>
        <v>41010.300000000003</v>
      </c>
      <c r="H604" s="100">
        <f t="shared" si="1741"/>
        <v>46010.3</v>
      </c>
      <c r="I604" s="295">
        <f t="shared" si="1742"/>
        <v>46010.3</v>
      </c>
      <c r="J604" s="100">
        <f t="shared" si="1743"/>
        <v>42010.3</v>
      </c>
      <c r="K604" s="295">
        <f t="shared" si="1744"/>
        <v>42010.3</v>
      </c>
      <c r="L604" s="100">
        <f t="shared" si="1745"/>
        <v>41810.300000000003</v>
      </c>
      <c r="M604" s="295">
        <f t="shared" si="1746"/>
        <v>41810.300000000003</v>
      </c>
      <c r="N604" s="100">
        <f t="shared" si="1747"/>
        <v>41710.300000000003</v>
      </c>
      <c r="O604" s="295">
        <f t="shared" si="1748"/>
        <v>41710.300000000003</v>
      </c>
      <c r="P604" s="100">
        <f t="shared" si="1749"/>
        <v>41610.300000000003</v>
      </c>
      <c r="Q604" s="295">
        <f t="shared" si="1750"/>
        <v>41610.300000000003</v>
      </c>
      <c r="R604" s="100">
        <f t="shared" si="1751"/>
        <v>41510.300000000003</v>
      </c>
      <c r="S604" s="295">
        <f t="shared" si="1752"/>
        <v>41510.300000000003</v>
      </c>
      <c r="T604" s="100">
        <f t="shared" si="1753"/>
        <v>41460.300000000003</v>
      </c>
      <c r="U604" s="295">
        <f t="shared" si="1754"/>
        <v>41460.300000000003</v>
      </c>
      <c r="V604" s="100">
        <f t="shared" si="1755"/>
        <v>41370.300000000003</v>
      </c>
      <c r="W604" s="295">
        <f t="shared" si="1756"/>
        <v>41370.300000000003</v>
      </c>
      <c r="X604" s="136"/>
      <c r="Y604" s="131"/>
      <c r="Z604" s="137"/>
      <c r="AA604" s="138"/>
      <c r="AB604" s="385">
        <v>704</v>
      </c>
    </row>
    <row r="605" spans="1:28" ht="12" customHeight="1" x14ac:dyDescent="0.2">
      <c r="A605" s="4"/>
      <c r="B605" s="708" t="s">
        <v>875</v>
      </c>
      <c r="C605" s="709"/>
      <c r="D605" s="709"/>
      <c r="E605" s="710"/>
      <c r="F605" s="365">
        <f>28.1*X2</f>
        <v>30853.800000000003</v>
      </c>
      <c r="G605" s="279">
        <f>+F605*$X$1</f>
        <v>30853.800000000003</v>
      </c>
      <c r="H605" s="99">
        <f t="shared" si="1741"/>
        <v>35853.800000000003</v>
      </c>
      <c r="I605" s="308">
        <f t="shared" si="1742"/>
        <v>35853.800000000003</v>
      </c>
      <c r="J605" s="99">
        <f t="shared" si="1743"/>
        <v>31853.800000000003</v>
      </c>
      <c r="K605" s="308">
        <f t="shared" si="1744"/>
        <v>31853.800000000003</v>
      </c>
      <c r="L605" s="99">
        <f t="shared" si="1745"/>
        <v>31653.800000000003</v>
      </c>
      <c r="M605" s="308">
        <f t="shared" si="1746"/>
        <v>31653.800000000003</v>
      </c>
      <c r="N605" s="99">
        <f t="shared" si="1747"/>
        <v>31553.800000000003</v>
      </c>
      <c r="O605" s="308">
        <f t="shared" si="1748"/>
        <v>31553.800000000003</v>
      </c>
      <c r="P605" s="99">
        <f t="shared" si="1749"/>
        <v>31453.800000000003</v>
      </c>
      <c r="Q605" s="308">
        <f t="shared" si="1750"/>
        <v>31453.800000000003</v>
      </c>
      <c r="R605" s="99">
        <f t="shared" si="1751"/>
        <v>31353.800000000003</v>
      </c>
      <c r="S605" s="308">
        <f t="shared" si="1752"/>
        <v>31353.800000000003</v>
      </c>
      <c r="T605" s="99">
        <f t="shared" si="1753"/>
        <v>31303.800000000003</v>
      </c>
      <c r="U605" s="308">
        <f t="shared" si="1754"/>
        <v>31303.800000000003</v>
      </c>
      <c r="V605" s="99">
        <f t="shared" si="1755"/>
        <v>31213.800000000003</v>
      </c>
      <c r="W605" s="308">
        <f t="shared" si="1756"/>
        <v>31213.800000000003</v>
      </c>
      <c r="X605" s="136"/>
      <c r="Y605" s="131"/>
      <c r="Z605" s="137"/>
      <c r="AA605" s="138"/>
      <c r="AB605" s="385">
        <v>708</v>
      </c>
    </row>
    <row r="606" spans="1:28" ht="12" customHeight="1" x14ac:dyDescent="0.2">
      <c r="A606" s="4"/>
      <c r="B606" s="742" t="s">
        <v>576</v>
      </c>
      <c r="C606" s="743"/>
      <c r="D606" s="743"/>
      <c r="E606" s="744"/>
      <c r="F606" s="364">
        <f>54*X2</f>
        <v>59292</v>
      </c>
      <c r="G606" s="278">
        <f>+F606*$X$1</f>
        <v>59292</v>
      </c>
      <c r="H606" s="100">
        <f t="shared" si="1741"/>
        <v>64292</v>
      </c>
      <c r="I606" s="295">
        <f t="shared" si="1742"/>
        <v>64292</v>
      </c>
      <c r="J606" s="100">
        <f t="shared" si="1743"/>
        <v>60292</v>
      </c>
      <c r="K606" s="295">
        <f t="shared" si="1744"/>
        <v>60292</v>
      </c>
      <c r="L606" s="100">
        <f t="shared" si="1745"/>
        <v>60092</v>
      </c>
      <c r="M606" s="295">
        <f t="shared" si="1746"/>
        <v>60092</v>
      </c>
      <c r="N606" s="100">
        <f t="shared" si="1747"/>
        <v>59992</v>
      </c>
      <c r="O606" s="295">
        <f t="shared" si="1748"/>
        <v>59992</v>
      </c>
      <c r="P606" s="100">
        <f t="shared" si="1749"/>
        <v>59892</v>
      </c>
      <c r="Q606" s="295">
        <f t="shared" si="1750"/>
        <v>59892</v>
      </c>
      <c r="R606" s="100">
        <f t="shared" si="1751"/>
        <v>59792</v>
      </c>
      <c r="S606" s="295">
        <f t="shared" si="1752"/>
        <v>59792</v>
      </c>
      <c r="T606" s="100">
        <f t="shared" si="1753"/>
        <v>59742</v>
      </c>
      <c r="U606" s="295">
        <f t="shared" si="1754"/>
        <v>59742</v>
      </c>
      <c r="V606" s="100">
        <f t="shared" si="1755"/>
        <v>59652</v>
      </c>
      <c r="W606" s="295">
        <f t="shared" si="1756"/>
        <v>59652</v>
      </c>
      <c r="X606" s="136"/>
      <c r="Y606" s="131"/>
      <c r="Z606" s="137"/>
      <c r="AA606" s="138"/>
      <c r="AB606" s="385">
        <v>710</v>
      </c>
    </row>
    <row r="607" spans="1:28" ht="12" customHeight="1" x14ac:dyDescent="0.2">
      <c r="A607" s="4"/>
      <c r="B607" s="739" t="s">
        <v>550</v>
      </c>
      <c r="C607" s="740"/>
      <c r="D607" s="740"/>
      <c r="E607" s="741"/>
      <c r="F607" s="365">
        <f>62.42*X2</f>
        <v>68537.16</v>
      </c>
      <c r="G607" s="279">
        <f t="shared" ref="G607" si="1772">+F607*$X$1</f>
        <v>68537.16</v>
      </c>
      <c r="H607" s="99">
        <f t="shared" si="1741"/>
        <v>73537.16</v>
      </c>
      <c r="I607" s="308">
        <f t="shared" si="1742"/>
        <v>73537.16</v>
      </c>
      <c r="J607" s="99">
        <f t="shared" si="1743"/>
        <v>69537.16</v>
      </c>
      <c r="K607" s="308">
        <f t="shared" si="1744"/>
        <v>69537.16</v>
      </c>
      <c r="L607" s="99">
        <f t="shared" si="1745"/>
        <v>69337.16</v>
      </c>
      <c r="M607" s="308">
        <f t="shared" si="1746"/>
        <v>69337.16</v>
      </c>
      <c r="N607" s="99">
        <f t="shared" si="1747"/>
        <v>69237.16</v>
      </c>
      <c r="O607" s="308">
        <f t="shared" si="1748"/>
        <v>69237.16</v>
      </c>
      <c r="P607" s="99">
        <f t="shared" si="1749"/>
        <v>69137.16</v>
      </c>
      <c r="Q607" s="308">
        <f t="shared" si="1750"/>
        <v>69137.16</v>
      </c>
      <c r="R607" s="99">
        <f t="shared" si="1751"/>
        <v>69037.16</v>
      </c>
      <c r="S607" s="308">
        <f t="shared" si="1752"/>
        <v>69037.16</v>
      </c>
      <c r="T607" s="99">
        <f t="shared" si="1753"/>
        <v>68987.16</v>
      </c>
      <c r="U607" s="308">
        <f t="shared" si="1754"/>
        <v>68987.16</v>
      </c>
      <c r="V607" s="99">
        <f t="shared" si="1755"/>
        <v>68897.16</v>
      </c>
      <c r="W607" s="308">
        <f t="shared" si="1756"/>
        <v>68897.16</v>
      </c>
      <c r="X607" s="136"/>
      <c r="Y607" s="131"/>
      <c r="Z607" s="137"/>
      <c r="AA607" s="138"/>
      <c r="AB607" s="385">
        <v>711</v>
      </c>
    </row>
    <row r="608" spans="1:28" ht="12" customHeight="1" x14ac:dyDescent="0.2">
      <c r="A608" s="4"/>
      <c r="B608" s="742" t="s">
        <v>579</v>
      </c>
      <c r="C608" s="743"/>
      <c r="D608" s="743"/>
      <c r="E608" s="744"/>
      <c r="F608" s="364">
        <f>59.1*X2</f>
        <v>64891.8</v>
      </c>
      <c r="G608" s="278">
        <f t="shared" ref="G608" si="1773">+F608*$X$1</f>
        <v>64891.8</v>
      </c>
      <c r="H608" s="100">
        <f t="shared" si="1741"/>
        <v>69891.8</v>
      </c>
      <c r="I608" s="295">
        <f t="shared" si="1742"/>
        <v>69891.8</v>
      </c>
      <c r="J608" s="100">
        <f t="shared" si="1743"/>
        <v>65891.8</v>
      </c>
      <c r="K608" s="295">
        <f t="shared" si="1744"/>
        <v>65891.8</v>
      </c>
      <c r="L608" s="100">
        <f t="shared" si="1745"/>
        <v>65691.8</v>
      </c>
      <c r="M608" s="295">
        <f t="shared" si="1746"/>
        <v>65691.8</v>
      </c>
      <c r="N608" s="100">
        <f t="shared" si="1747"/>
        <v>65591.8</v>
      </c>
      <c r="O608" s="295">
        <f t="shared" si="1748"/>
        <v>65591.8</v>
      </c>
      <c r="P608" s="100">
        <f t="shared" si="1749"/>
        <v>65491.8</v>
      </c>
      <c r="Q608" s="295">
        <f t="shared" si="1750"/>
        <v>65491.8</v>
      </c>
      <c r="R608" s="100">
        <f t="shared" si="1751"/>
        <v>65391.8</v>
      </c>
      <c r="S608" s="295">
        <f t="shared" si="1752"/>
        <v>65391.8</v>
      </c>
      <c r="T608" s="100">
        <f t="shared" si="1753"/>
        <v>65341.8</v>
      </c>
      <c r="U608" s="295">
        <f t="shared" si="1754"/>
        <v>65341.8</v>
      </c>
      <c r="V608" s="100">
        <f t="shared" si="1755"/>
        <v>65251.8</v>
      </c>
      <c r="W608" s="295">
        <f t="shared" si="1756"/>
        <v>65251.8</v>
      </c>
      <c r="X608" s="136"/>
      <c r="Y608" s="131"/>
      <c r="Z608" s="137"/>
      <c r="AA608" s="138"/>
      <c r="AB608" s="385">
        <v>714</v>
      </c>
    </row>
    <row r="609" spans="1:34" ht="12" customHeight="1" x14ac:dyDescent="0.2">
      <c r="A609" s="4"/>
      <c r="B609" s="1163" t="s">
        <v>713</v>
      </c>
      <c r="C609" s="1164"/>
      <c r="D609" s="1164"/>
      <c r="E609" s="1165"/>
      <c r="F609" s="515">
        <f>13*X2</f>
        <v>14274</v>
      </c>
      <c r="G609" s="511">
        <f t="shared" ref="G609" si="1774">+F609*$X$1</f>
        <v>14274</v>
      </c>
      <c r="H609" s="628">
        <f t="shared" si="1741"/>
        <v>19274</v>
      </c>
      <c r="I609" s="510">
        <f t="shared" si="1742"/>
        <v>19274</v>
      </c>
      <c r="J609" s="628">
        <f t="shared" si="1743"/>
        <v>15274</v>
      </c>
      <c r="K609" s="510">
        <f t="shared" si="1744"/>
        <v>15274</v>
      </c>
      <c r="L609" s="628">
        <f t="shared" si="1745"/>
        <v>15074</v>
      </c>
      <c r="M609" s="510">
        <f t="shared" si="1746"/>
        <v>15074</v>
      </c>
      <c r="N609" s="628">
        <f t="shared" si="1747"/>
        <v>14974</v>
      </c>
      <c r="O609" s="510">
        <f t="shared" si="1748"/>
        <v>14974</v>
      </c>
      <c r="P609" s="628">
        <f t="shared" si="1749"/>
        <v>14874</v>
      </c>
      <c r="Q609" s="510">
        <f t="shared" si="1750"/>
        <v>14874</v>
      </c>
      <c r="R609" s="628">
        <f t="shared" si="1751"/>
        <v>14774</v>
      </c>
      <c r="S609" s="510">
        <f t="shared" si="1752"/>
        <v>14774</v>
      </c>
      <c r="T609" s="628">
        <f t="shared" si="1753"/>
        <v>14724</v>
      </c>
      <c r="U609" s="510">
        <f t="shared" si="1754"/>
        <v>14724</v>
      </c>
      <c r="V609" s="628">
        <f t="shared" si="1755"/>
        <v>14634</v>
      </c>
      <c r="W609" s="510">
        <f t="shared" si="1756"/>
        <v>14634</v>
      </c>
      <c r="X609" s="136"/>
      <c r="Y609" s="131"/>
      <c r="Z609" s="137"/>
      <c r="AA609" s="138"/>
      <c r="AB609" s="385">
        <v>716</v>
      </c>
    </row>
    <row r="610" spans="1:34" ht="12" customHeight="1" x14ac:dyDescent="0.2">
      <c r="A610" s="4"/>
      <c r="B610" s="1163" t="s">
        <v>715</v>
      </c>
      <c r="C610" s="1164"/>
      <c r="D610" s="1164"/>
      <c r="E610" s="1165"/>
      <c r="F610" s="515">
        <f>54.15*X2</f>
        <v>59456.7</v>
      </c>
      <c r="G610" s="511">
        <f t="shared" ref="G610" si="1775">+F610*$X$1</f>
        <v>59456.7</v>
      </c>
      <c r="H610" s="628">
        <f t="shared" si="1741"/>
        <v>64456.7</v>
      </c>
      <c r="I610" s="510">
        <f t="shared" si="1742"/>
        <v>64456.7</v>
      </c>
      <c r="J610" s="628">
        <f t="shared" si="1743"/>
        <v>60456.7</v>
      </c>
      <c r="K610" s="510">
        <f t="shared" si="1744"/>
        <v>60456.7</v>
      </c>
      <c r="L610" s="628">
        <f t="shared" si="1745"/>
        <v>60256.7</v>
      </c>
      <c r="M610" s="510">
        <f t="shared" si="1746"/>
        <v>60256.7</v>
      </c>
      <c r="N610" s="628">
        <f t="shared" si="1747"/>
        <v>60156.7</v>
      </c>
      <c r="O610" s="510">
        <f t="shared" si="1748"/>
        <v>60156.7</v>
      </c>
      <c r="P610" s="628">
        <f t="shared" si="1749"/>
        <v>60056.7</v>
      </c>
      <c r="Q610" s="510">
        <f t="shared" si="1750"/>
        <v>60056.7</v>
      </c>
      <c r="R610" s="628">
        <f t="shared" si="1751"/>
        <v>59956.7</v>
      </c>
      <c r="S610" s="510">
        <f t="shared" si="1752"/>
        <v>59956.7</v>
      </c>
      <c r="T610" s="628">
        <f t="shared" si="1753"/>
        <v>59906.7</v>
      </c>
      <c r="U610" s="510">
        <f t="shared" si="1754"/>
        <v>59906.7</v>
      </c>
      <c r="V610" s="628">
        <f t="shared" si="1755"/>
        <v>59816.7</v>
      </c>
      <c r="W610" s="510">
        <f t="shared" si="1756"/>
        <v>59816.7</v>
      </c>
      <c r="X610" s="136"/>
      <c r="Y610" s="131"/>
      <c r="Z610" s="137"/>
      <c r="AA610" s="138"/>
      <c r="AB610" s="385">
        <v>717</v>
      </c>
    </row>
    <row r="611" spans="1:34" ht="12" customHeight="1" x14ac:dyDescent="0.2">
      <c r="A611" s="4"/>
      <c r="B611" s="708" t="s">
        <v>714</v>
      </c>
      <c r="C611" s="709"/>
      <c r="D611" s="709"/>
      <c r="E611" s="710"/>
      <c r="F611" s="364">
        <f>97.31*X2</f>
        <v>106846.38</v>
      </c>
      <c r="G611" s="278">
        <f t="shared" ref="G611" si="1776">+F611*$X$1</f>
        <v>106846.38</v>
      </c>
      <c r="H611" s="100">
        <f t="shared" si="1741"/>
        <v>111846.38</v>
      </c>
      <c r="I611" s="295">
        <f t="shared" si="1742"/>
        <v>111846.38</v>
      </c>
      <c r="J611" s="100">
        <f t="shared" si="1743"/>
        <v>107846.38</v>
      </c>
      <c r="K611" s="295">
        <f t="shared" si="1744"/>
        <v>107846.38</v>
      </c>
      <c r="L611" s="100">
        <f t="shared" si="1745"/>
        <v>107646.38</v>
      </c>
      <c r="M611" s="295">
        <f t="shared" si="1746"/>
        <v>107646.38</v>
      </c>
      <c r="N611" s="100">
        <f t="shared" si="1747"/>
        <v>107546.38</v>
      </c>
      <c r="O611" s="295">
        <f t="shared" si="1748"/>
        <v>107546.38</v>
      </c>
      <c r="P611" s="100">
        <f t="shared" si="1749"/>
        <v>107446.38</v>
      </c>
      <c r="Q611" s="295">
        <f t="shared" si="1750"/>
        <v>107446.38</v>
      </c>
      <c r="R611" s="100">
        <f t="shared" si="1751"/>
        <v>107346.38</v>
      </c>
      <c r="S611" s="295">
        <f t="shared" si="1752"/>
        <v>107346.38</v>
      </c>
      <c r="T611" s="100">
        <f t="shared" si="1753"/>
        <v>107296.38</v>
      </c>
      <c r="U611" s="295">
        <f t="shared" si="1754"/>
        <v>107296.38</v>
      </c>
      <c r="V611" s="100">
        <f t="shared" si="1755"/>
        <v>107206.38</v>
      </c>
      <c r="W611" s="295">
        <f t="shared" si="1756"/>
        <v>107206.38</v>
      </c>
      <c r="X611" s="136"/>
      <c r="Y611" s="131"/>
      <c r="Z611" s="137"/>
      <c r="AA611" s="138"/>
      <c r="AB611" s="385">
        <v>718</v>
      </c>
    </row>
    <row r="612" spans="1:34" ht="12" customHeight="1" x14ac:dyDescent="0.2">
      <c r="A612" s="4"/>
      <c r="B612" s="739" t="s">
        <v>827</v>
      </c>
      <c r="C612" s="740"/>
      <c r="D612" s="740"/>
      <c r="E612" s="741"/>
      <c r="F612" s="365">
        <f>32.96*X2</f>
        <v>36190.080000000002</v>
      </c>
      <c r="G612" s="279">
        <f t="shared" ref="G612" si="1777">+F612*$X$1</f>
        <v>36190.080000000002</v>
      </c>
      <c r="H612" s="99">
        <f t="shared" si="1741"/>
        <v>41190.080000000002</v>
      </c>
      <c r="I612" s="308">
        <f t="shared" si="1742"/>
        <v>41190.080000000002</v>
      </c>
      <c r="J612" s="99">
        <f t="shared" si="1743"/>
        <v>37190.080000000002</v>
      </c>
      <c r="K612" s="308">
        <f t="shared" si="1744"/>
        <v>37190.080000000002</v>
      </c>
      <c r="L612" s="99">
        <f t="shared" si="1745"/>
        <v>36990.080000000002</v>
      </c>
      <c r="M612" s="308">
        <f t="shared" si="1746"/>
        <v>36990.080000000002</v>
      </c>
      <c r="N612" s="99">
        <f t="shared" si="1747"/>
        <v>36890.080000000002</v>
      </c>
      <c r="O612" s="308">
        <f t="shared" si="1748"/>
        <v>36890.080000000002</v>
      </c>
      <c r="P612" s="99">
        <f t="shared" si="1749"/>
        <v>36790.080000000002</v>
      </c>
      <c r="Q612" s="308">
        <f t="shared" si="1750"/>
        <v>36790.080000000002</v>
      </c>
      <c r="R612" s="99">
        <f t="shared" si="1751"/>
        <v>36690.080000000002</v>
      </c>
      <c r="S612" s="308">
        <f t="shared" si="1752"/>
        <v>36690.080000000002</v>
      </c>
      <c r="T612" s="99">
        <f t="shared" si="1753"/>
        <v>36640.080000000002</v>
      </c>
      <c r="U612" s="308">
        <f t="shared" si="1754"/>
        <v>36640.080000000002</v>
      </c>
      <c r="V612" s="99">
        <f t="shared" si="1755"/>
        <v>36550.080000000002</v>
      </c>
      <c r="W612" s="308">
        <f t="shared" si="1756"/>
        <v>36550.080000000002</v>
      </c>
      <c r="X612" s="136"/>
      <c r="Y612" s="131"/>
      <c r="Z612" s="137"/>
      <c r="AA612" s="138"/>
      <c r="AB612" s="385">
        <v>719</v>
      </c>
    </row>
    <row r="613" spans="1:34" ht="12" customHeight="1" x14ac:dyDescent="0.2">
      <c r="A613" s="4"/>
      <c r="B613" s="742" t="s">
        <v>712</v>
      </c>
      <c r="C613" s="743"/>
      <c r="D613" s="743"/>
      <c r="E613" s="744"/>
      <c r="F613" s="364">
        <f>14.31*X2</f>
        <v>15712.380000000001</v>
      </c>
      <c r="G613" s="278">
        <f t="shared" ref="G613" si="1778">+F613*$X$1</f>
        <v>15712.380000000001</v>
      </c>
      <c r="H613" s="100">
        <f t="shared" si="1741"/>
        <v>20712.38</v>
      </c>
      <c r="I613" s="295">
        <f t="shared" si="1742"/>
        <v>20712.38</v>
      </c>
      <c r="J613" s="100">
        <f t="shared" si="1743"/>
        <v>16712.38</v>
      </c>
      <c r="K613" s="295">
        <f t="shared" si="1744"/>
        <v>16712.38</v>
      </c>
      <c r="L613" s="100">
        <f t="shared" si="1745"/>
        <v>16512.38</v>
      </c>
      <c r="M613" s="295">
        <f t="shared" si="1746"/>
        <v>16512.38</v>
      </c>
      <c r="N613" s="100">
        <f t="shared" si="1747"/>
        <v>16412.38</v>
      </c>
      <c r="O613" s="295">
        <f t="shared" si="1748"/>
        <v>16412.38</v>
      </c>
      <c r="P613" s="100">
        <f t="shared" si="1749"/>
        <v>16312.380000000001</v>
      </c>
      <c r="Q613" s="295">
        <f t="shared" si="1750"/>
        <v>16312.380000000001</v>
      </c>
      <c r="R613" s="100">
        <f t="shared" si="1751"/>
        <v>16212.380000000001</v>
      </c>
      <c r="S613" s="295">
        <f t="shared" si="1752"/>
        <v>16212.380000000001</v>
      </c>
      <c r="T613" s="100">
        <f t="shared" si="1753"/>
        <v>16162.380000000001</v>
      </c>
      <c r="U613" s="295">
        <f t="shared" si="1754"/>
        <v>16162.380000000001</v>
      </c>
      <c r="V613" s="100">
        <f t="shared" si="1755"/>
        <v>16072.380000000001</v>
      </c>
      <c r="W613" s="295">
        <f t="shared" si="1756"/>
        <v>16072.380000000001</v>
      </c>
      <c r="X613" s="136"/>
      <c r="Y613" s="131"/>
      <c r="Z613" s="137"/>
      <c r="AA613" s="138"/>
      <c r="AB613" s="385">
        <v>720</v>
      </c>
    </row>
    <row r="614" spans="1:34" ht="12" customHeight="1" x14ac:dyDescent="0.2">
      <c r="A614" s="4"/>
      <c r="B614" s="739" t="s">
        <v>711</v>
      </c>
      <c r="C614" s="740"/>
      <c r="D614" s="740"/>
      <c r="E614" s="741"/>
      <c r="F614" s="365">
        <f>40.98*X2</f>
        <v>44996.039999999994</v>
      </c>
      <c r="G614" s="279">
        <f t="shared" ref="G614" si="1779">+F614*$X$1</f>
        <v>44996.039999999994</v>
      </c>
      <c r="H614" s="99">
        <f t="shared" si="1741"/>
        <v>49996.039999999994</v>
      </c>
      <c r="I614" s="308">
        <f t="shared" si="1742"/>
        <v>49996.039999999994</v>
      </c>
      <c r="J614" s="99">
        <f t="shared" si="1743"/>
        <v>45996.039999999994</v>
      </c>
      <c r="K614" s="308">
        <f t="shared" si="1744"/>
        <v>45996.039999999994</v>
      </c>
      <c r="L614" s="99">
        <f t="shared" si="1745"/>
        <v>45796.039999999994</v>
      </c>
      <c r="M614" s="308">
        <f t="shared" si="1746"/>
        <v>45796.039999999994</v>
      </c>
      <c r="N614" s="99">
        <f t="shared" si="1747"/>
        <v>45696.039999999994</v>
      </c>
      <c r="O614" s="308">
        <f t="shared" si="1748"/>
        <v>45696.039999999994</v>
      </c>
      <c r="P614" s="99">
        <f t="shared" si="1749"/>
        <v>45596.039999999994</v>
      </c>
      <c r="Q614" s="308">
        <f t="shared" si="1750"/>
        <v>45596.039999999994</v>
      </c>
      <c r="R614" s="99">
        <f t="shared" si="1751"/>
        <v>45496.039999999994</v>
      </c>
      <c r="S614" s="308">
        <f t="shared" si="1752"/>
        <v>45496.039999999994</v>
      </c>
      <c r="T614" s="99">
        <f t="shared" si="1753"/>
        <v>45446.039999999994</v>
      </c>
      <c r="U614" s="308">
        <f t="shared" si="1754"/>
        <v>45446.039999999994</v>
      </c>
      <c r="V614" s="99">
        <f t="shared" si="1755"/>
        <v>45356.039999999994</v>
      </c>
      <c r="W614" s="308">
        <f t="shared" si="1756"/>
        <v>45356.039999999994</v>
      </c>
      <c r="X614" s="136"/>
      <c r="Y614" s="131"/>
      <c r="Z614" s="137"/>
      <c r="AA614" s="138"/>
      <c r="AB614" s="385">
        <v>721</v>
      </c>
    </row>
    <row r="615" spans="1:34" ht="12.6" customHeight="1" x14ac:dyDescent="0.2">
      <c r="A615" s="4"/>
      <c r="B615" s="742" t="s">
        <v>843</v>
      </c>
      <c r="C615" s="743"/>
      <c r="D615" s="743"/>
      <c r="E615" s="744"/>
      <c r="F615" s="364">
        <f>5.4*X2</f>
        <v>5929.2000000000007</v>
      </c>
      <c r="G615" s="278">
        <f t="shared" ref="G615" si="1780">+F615*$X$1</f>
        <v>5929.2000000000007</v>
      </c>
      <c r="H615" s="100">
        <f t="shared" si="1741"/>
        <v>10929.2</v>
      </c>
      <c r="I615" s="295">
        <f t="shared" si="1742"/>
        <v>10929.2</v>
      </c>
      <c r="J615" s="100">
        <f t="shared" si="1743"/>
        <v>6929.2000000000007</v>
      </c>
      <c r="K615" s="295">
        <f t="shared" si="1744"/>
        <v>6929.2000000000007</v>
      </c>
      <c r="L615" s="100">
        <f t="shared" si="1745"/>
        <v>6729.2000000000007</v>
      </c>
      <c r="M615" s="295">
        <f t="shared" si="1746"/>
        <v>6729.2000000000007</v>
      </c>
      <c r="N615" s="100">
        <f t="shared" si="1747"/>
        <v>6629.2000000000007</v>
      </c>
      <c r="O615" s="295">
        <f t="shared" si="1748"/>
        <v>6629.2000000000007</v>
      </c>
      <c r="P615" s="100">
        <f t="shared" si="1749"/>
        <v>6529.2000000000007</v>
      </c>
      <c r="Q615" s="295">
        <f t="shared" si="1750"/>
        <v>6529.2000000000007</v>
      </c>
      <c r="R615" s="100">
        <f t="shared" si="1751"/>
        <v>6429.2000000000007</v>
      </c>
      <c r="S615" s="295">
        <f t="shared" si="1752"/>
        <v>6429.2000000000007</v>
      </c>
      <c r="T615" s="100">
        <f t="shared" si="1753"/>
        <v>6379.2000000000007</v>
      </c>
      <c r="U615" s="295">
        <f t="shared" si="1754"/>
        <v>6379.2000000000007</v>
      </c>
      <c r="V615" s="100">
        <f t="shared" si="1755"/>
        <v>6289.2000000000007</v>
      </c>
      <c r="W615" s="295">
        <f t="shared" si="1756"/>
        <v>6289.2000000000007</v>
      </c>
      <c r="X615" s="136"/>
      <c r="Y615" s="131"/>
      <c r="Z615" s="137"/>
      <c r="AA615" s="138"/>
      <c r="AB615" s="189">
        <v>741</v>
      </c>
    </row>
    <row r="616" spans="1:34" ht="12" customHeight="1" x14ac:dyDescent="0.2">
      <c r="A616" s="4"/>
      <c r="B616" s="739" t="s">
        <v>606</v>
      </c>
      <c r="C616" s="740"/>
      <c r="D616" s="740"/>
      <c r="E616" s="741"/>
      <c r="F616" s="365">
        <f>19.7*X2</f>
        <v>21630.6</v>
      </c>
      <c r="G616" s="279">
        <f>+F616*$X$1</f>
        <v>21630.6</v>
      </c>
      <c r="H616" s="99">
        <f t="shared" si="1741"/>
        <v>26630.6</v>
      </c>
      <c r="I616" s="308">
        <f t="shared" si="1742"/>
        <v>26630.6</v>
      </c>
      <c r="J616" s="99">
        <f t="shared" si="1743"/>
        <v>22630.6</v>
      </c>
      <c r="K616" s="308">
        <f t="shared" si="1744"/>
        <v>22630.6</v>
      </c>
      <c r="L616" s="99">
        <f t="shared" si="1745"/>
        <v>22430.6</v>
      </c>
      <c r="M616" s="308">
        <f t="shared" si="1746"/>
        <v>22430.6</v>
      </c>
      <c r="N616" s="99">
        <f t="shared" si="1747"/>
        <v>22330.6</v>
      </c>
      <c r="O616" s="308">
        <f t="shared" si="1748"/>
        <v>22330.6</v>
      </c>
      <c r="P616" s="99">
        <f t="shared" si="1749"/>
        <v>22230.6</v>
      </c>
      <c r="Q616" s="308">
        <f t="shared" si="1750"/>
        <v>22230.6</v>
      </c>
      <c r="R616" s="99">
        <f t="shared" si="1751"/>
        <v>22130.6</v>
      </c>
      <c r="S616" s="308">
        <f t="shared" si="1752"/>
        <v>22130.6</v>
      </c>
      <c r="T616" s="99">
        <f t="shared" si="1753"/>
        <v>22080.6</v>
      </c>
      <c r="U616" s="308">
        <f t="shared" si="1754"/>
        <v>22080.6</v>
      </c>
      <c r="V616" s="99">
        <f t="shared" si="1755"/>
        <v>21990.6</v>
      </c>
      <c r="W616" s="308">
        <f t="shared" si="1756"/>
        <v>21990.6</v>
      </c>
      <c r="X616" s="136"/>
      <c r="Y616" s="131"/>
      <c r="Z616" s="137"/>
      <c r="AA616" s="138"/>
      <c r="AB616" s="189">
        <v>742</v>
      </c>
    </row>
    <row r="617" spans="1:34" ht="12" customHeight="1" x14ac:dyDescent="0.2">
      <c r="A617" s="4"/>
      <c r="B617" s="742" t="s">
        <v>607</v>
      </c>
      <c r="C617" s="743"/>
      <c r="D617" s="743"/>
      <c r="E617" s="744"/>
      <c r="F617" s="364">
        <f>20.2*X2</f>
        <v>22179.599999999999</v>
      </c>
      <c r="G617" s="278">
        <f>+F617*$X$1</f>
        <v>22179.599999999999</v>
      </c>
      <c r="H617" s="100">
        <f t="shared" si="1741"/>
        <v>27179.599999999999</v>
      </c>
      <c r="I617" s="295">
        <f t="shared" si="1742"/>
        <v>27179.599999999999</v>
      </c>
      <c r="J617" s="100">
        <f t="shared" si="1743"/>
        <v>23179.599999999999</v>
      </c>
      <c r="K617" s="295">
        <f t="shared" si="1744"/>
        <v>23179.599999999999</v>
      </c>
      <c r="L617" s="100">
        <f t="shared" si="1745"/>
        <v>22979.599999999999</v>
      </c>
      <c r="M617" s="295">
        <f t="shared" si="1746"/>
        <v>22979.599999999999</v>
      </c>
      <c r="N617" s="100">
        <f t="shared" si="1747"/>
        <v>22879.599999999999</v>
      </c>
      <c r="O617" s="295">
        <f t="shared" si="1748"/>
        <v>22879.599999999999</v>
      </c>
      <c r="P617" s="100">
        <f t="shared" si="1749"/>
        <v>22779.599999999999</v>
      </c>
      <c r="Q617" s="295">
        <f t="shared" si="1750"/>
        <v>22779.599999999999</v>
      </c>
      <c r="R617" s="100">
        <f t="shared" si="1751"/>
        <v>22679.599999999999</v>
      </c>
      <c r="S617" s="295">
        <f t="shared" si="1752"/>
        <v>22679.599999999999</v>
      </c>
      <c r="T617" s="100">
        <f t="shared" si="1753"/>
        <v>22629.599999999999</v>
      </c>
      <c r="U617" s="295">
        <f t="shared" si="1754"/>
        <v>22629.599999999999</v>
      </c>
      <c r="V617" s="100">
        <f t="shared" si="1755"/>
        <v>22539.599999999999</v>
      </c>
      <c r="W617" s="295">
        <f t="shared" si="1756"/>
        <v>22539.599999999999</v>
      </c>
      <c r="X617" s="136"/>
      <c r="Y617" s="131"/>
      <c r="Z617" s="137"/>
      <c r="AA617" s="138"/>
      <c r="AB617" s="189">
        <v>743</v>
      </c>
    </row>
    <row r="618" spans="1:34" ht="12" customHeight="1" x14ac:dyDescent="0.2">
      <c r="A618" s="4"/>
      <c r="B618" s="739" t="s">
        <v>686</v>
      </c>
      <c r="C618" s="740"/>
      <c r="D618" s="740"/>
      <c r="E618" s="741"/>
      <c r="F618" s="365">
        <f>17*X2</f>
        <v>18666</v>
      </c>
      <c r="G618" s="279">
        <f t="shared" ref="G618" si="1781">+F618*$X$1</f>
        <v>18666</v>
      </c>
      <c r="H618" s="99">
        <f t="shared" si="1741"/>
        <v>23666</v>
      </c>
      <c r="I618" s="308">
        <f t="shared" si="1742"/>
        <v>23666</v>
      </c>
      <c r="J618" s="99">
        <f t="shared" si="1743"/>
        <v>19666</v>
      </c>
      <c r="K618" s="308">
        <f t="shared" si="1744"/>
        <v>19666</v>
      </c>
      <c r="L618" s="99">
        <f t="shared" si="1745"/>
        <v>19466</v>
      </c>
      <c r="M618" s="308">
        <f t="shared" si="1746"/>
        <v>19466</v>
      </c>
      <c r="N618" s="99">
        <f t="shared" si="1747"/>
        <v>19366</v>
      </c>
      <c r="O618" s="308">
        <f t="shared" si="1748"/>
        <v>19366</v>
      </c>
      <c r="P618" s="99">
        <f t="shared" si="1749"/>
        <v>19266</v>
      </c>
      <c r="Q618" s="308">
        <f t="shared" si="1750"/>
        <v>19266</v>
      </c>
      <c r="R618" s="99">
        <f t="shared" si="1751"/>
        <v>19166</v>
      </c>
      <c r="S618" s="308">
        <f t="shared" si="1752"/>
        <v>19166</v>
      </c>
      <c r="T618" s="99">
        <f t="shared" si="1753"/>
        <v>19116</v>
      </c>
      <c r="U618" s="308">
        <f t="shared" si="1754"/>
        <v>19116</v>
      </c>
      <c r="V618" s="99">
        <f t="shared" si="1755"/>
        <v>19026</v>
      </c>
      <c r="W618" s="308">
        <f t="shared" si="1756"/>
        <v>19026</v>
      </c>
      <c r="X618" s="136"/>
      <c r="Y618" s="131"/>
      <c r="Z618" s="137"/>
      <c r="AA618" s="138"/>
      <c r="AB618" s="189">
        <v>744</v>
      </c>
    </row>
    <row r="619" spans="1:34" ht="12" customHeight="1" x14ac:dyDescent="0.2">
      <c r="A619" s="4"/>
      <c r="B619" s="708" t="s">
        <v>903</v>
      </c>
      <c r="C619" s="709"/>
      <c r="D619" s="709"/>
      <c r="E619" s="710"/>
      <c r="F619" s="364">
        <f>4.9*X2</f>
        <v>5380.2000000000007</v>
      </c>
      <c r="G619" s="278">
        <f t="shared" ref="G619" si="1782">+F619*$X$1</f>
        <v>5380.2000000000007</v>
      </c>
      <c r="H619" s="100">
        <f t="shared" si="1741"/>
        <v>10380.200000000001</v>
      </c>
      <c r="I619" s="295">
        <f t="shared" si="1742"/>
        <v>10380.200000000001</v>
      </c>
      <c r="J619" s="100">
        <f t="shared" si="1743"/>
        <v>6380.2000000000007</v>
      </c>
      <c r="K619" s="295">
        <f t="shared" si="1744"/>
        <v>6380.2000000000007</v>
      </c>
      <c r="L619" s="100">
        <f t="shared" si="1745"/>
        <v>6180.2000000000007</v>
      </c>
      <c r="M619" s="295">
        <f t="shared" si="1746"/>
        <v>6180.2000000000007</v>
      </c>
      <c r="N619" s="100">
        <f t="shared" si="1747"/>
        <v>6080.2000000000007</v>
      </c>
      <c r="O619" s="295">
        <f t="shared" si="1748"/>
        <v>6080.2000000000007</v>
      </c>
      <c r="P619" s="100">
        <f t="shared" si="1749"/>
        <v>5980.2000000000007</v>
      </c>
      <c r="Q619" s="295">
        <f t="shared" si="1750"/>
        <v>5980.2000000000007</v>
      </c>
      <c r="R619" s="100">
        <f t="shared" si="1751"/>
        <v>5880.2000000000007</v>
      </c>
      <c r="S619" s="295">
        <f t="shared" si="1752"/>
        <v>5880.2000000000007</v>
      </c>
      <c r="T619" s="100">
        <f t="shared" si="1753"/>
        <v>5830.2000000000007</v>
      </c>
      <c r="U619" s="295">
        <f t="shared" si="1754"/>
        <v>5830.2000000000007</v>
      </c>
      <c r="V619" s="100">
        <f t="shared" si="1755"/>
        <v>5740.2000000000007</v>
      </c>
      <c r="W619" s="295">
        <f t="shared" si="1756"/>
        <v>5740.2000000000007</v>
      </c>
      <c r="X619" s="136"/>
      <c r="Y619" s="131"/>
      <c r="Z619" s="137"/>
      <c r="AA619" s="138"/>
      <c r="AB619" s="189">
        <v>745</v>
      </c>
    </row>
    <row r="620" spans="1:34" ht="12" customHeight="1" x14ac:dyDescent="0.2">
      <c r="A620" s="4"/>
      <c r="B620" s="708" t="s">
        <v>949</v>
      </c>
      <c r="C620" s="709"/>
      <c r="D620" s="709"/>
      <c r="E620" s="710"/>
      <c r="F620" s="365">
        <f>6.49*X2</f>
        <v>7126.02</v>
      </c>
      <c r="G620" s="279">
        <f t="shared" ref="G620:G621" si="1783">+F620*$X$1</f>
        <v>7126.02</v>
      </c>
      <c r="H620" s="99">
        <f t="shared" si="1741"/>
        <v>12126.02</v>
      </c>
      <c r="I620" s="308">
        <f t="shared" si="1742"/>
        <v>12126.02</v>
      </c>
      <c r="J620" s="99">
        <f t="shared" si="1743"/>
        <v>8126.02</v>
      </c>
      <c r="K620" s="308">
        <f t="shared" si="1744"/>
        <v>8126.02</v>
      </c>
      <c r="L620" s="99">
        <f t="shared" si="1745"/>
        <v>7926.02</v>
      </c>
      <c r="M620" s="308">
        <f t="shared" si="1746"/>
        <v>7926.02</v>
      </c>
      <c r="N620" s="99">
        <f t="shared" si="1747"/>
        <v>7826.02</v>
      </c>
      <c r="O620" s="308">
        <f t="shared" si="1748"/>
        <v>7826.02</v>
      </c>
      <c r="P620" s="99">
        <f t="shared" si="1749"/>
        <v>7726.02</v>
      </c>
      <c r="Q620" s="308">
        <f t="shared" si="1750"/>
        <v>7726.02</v>
      </c>
      <c r="R620" s="99">
        <f t="shared" si="1751"/>
        <v>7626.02</v>
      </c>
      <c r="S620" s="308">
        <f t="shared" si="1752"/>
        <v>7626.02</v>
      </c>
      <c r="T620" s="99">
        <f t="shared" si="1753"/>
        <v>7576.02</v>
      </c>
      <c r="U620" s="308">
        <f t="shared" si="1754"/>
        <v>7576.02</v>
      </c>
      <c r="V620" s="99">
        <f t="shared" si="1755"/>
        <v>7486.02</v>
      </c>
      <c r="W620" s="308">
        <f t="shared" si="1756"/>
        <v>7486.02</v>
      </c>
      <c r="X620" s="136"/>
      <c r="Y620" s="131"/>
      <c r="Z620" s="137"/>
      <c r="AA620" s="138"/>
      <c r="AB620" s="189">
        <v>746</v>
      </c>
    </row>
    <row r="621" spans="1:34" ht="12" customHeight="1" x14ac:dyDescent="0.2">
      <c r="A621" s="4"/>
      <c r="B621" s="708" t="s">
        <v>941</v>
      </c>
      <c r="C621" s="709"/>
      <c r="D621" s="709"/>
      <c r="E621" s="710"/>
      <c r="F621" s="364">
        <f>4.077*X2</f>
        <v>4476.5460000000003</v>
      </c>
      <c r="G621" s="278">
        <f t="shared" si="1783"/>
        <v>4476.5460000000003</v>
      </c>
      <c r="H621" s="100">
        <f t="shared" si="1741"/>
        <v>9476.5460000000003</v>
      </c>
      <c r="I621" s="295">
        <f t="shared" si="1742"/>
        <v>9476.5460000000003</v>
      </c>
      <c r="J621" s="100">
        <f t="shared" si="1743"/>
        <v>5476.5460000000003</v>
      </c>
      <c r="K621" s="295">
        <f t="shared" si="1744"/>
        <v>5476.5460000000003</v>
      </c>
      <c r="L621" s="100">
        <f t="shared" si="1745"/>
        <v>5276.5460000000003</v>
      </c>
      <c r="M621" s="295">
        <f t="shared" si="1746"/>
        <v>5276.5460000000003</v>
      </c>
      <c r="N621" s="100">
        <f t="shared" si="1747"/>
        <v>5176.5460000000003</v>
      </c>
      <c r="O621" s="295">
        <f t="shared" si="1748"/>
        <v>5176.5460000000003</v>
      </c>
      <c r="P621" s="100">
        <f t="shared" si="1749"/>
        <v>5076.5460000000003</v>
      </c>
      <c r="Q621" s="295">
        <f t="shared" si="1750"/>
        <v>5076.5460000000003</v>
      </c>
      <c r="R621" s="100">
        <f t="shared" si="1751"/>
        <v>4976.5460000000003</v>
      </c>
      <c r="S621" s="295">
        <f t="shared" si="1752"/>
        <v>4976.5460000000003</v>
      </c>
      <c r="T621" s="100">
        <f t="shared" si="1753"/>
        <v>4926.5460000000003</v>
      </c>
      <c r="U621" s="295">
        <f t="shared" si="1754"/>
        <v>4926.5460000000003</v>
      </c>
      <c r="V621" s="100">
        <f t="shared" si="1755"/>
        <v>4836.5460000000003</v>
      </c>
      <c r="W621" s="295">
        <f t="shared" si="1756"/>
        <v>4836.5460000000003</v>
      </c>
      <c r="X621" s="136"/>
      <c r="Y621" s="131"/>
      <c r="Z621" s="137"/>
      <c r="AA621" s="138"/>
      <c r="AB621" s="189">
        <v>760</v>
      </c>
    </row>
    <row r="622" spans="1:34" ht="12" customHeight="1" x14ac:dyDescent="0.2">
      <c r="A622" s="4"/>
      <c r="B622" s="1116" t="s">
        <v>582</v>
      </c>
      <c r="C622" s="1117"/>
      <c r="D622" s="1117"/>
      <c r="E622" s="1117"/>
      <c r="F622" s="373"/>
      <c r="G622" s="373"/>
      <c r="H622" s="440">
        <v>1700</v>
      </c>
      <c r="I622" s="279">
        <f t="shared" ref="I622:K622" si="1784">+H622*$X$1</f>
        <v>1700</v>
      </c>
      <c r="J622" s="440">
        <v>900</v>
      </c>
      <c r="K622" s="279">
        <f t="shared" si="1784"/>
        <v>900</v>
      </c>
      <c r="L622" s="440">
        <v>700</v>
      </c>
      <c r="M622" s="279">
        <f t="shared" ref="M622" si="1785">+L622*$X$1</f>
        <v>700</v>
      </c>
      <c r="N622" s="440">
        <v>600</v>
      </c>
      <c r="O622" s="279">
        <f t="shared" ref="O622" si="1786">+N622*$X$1</f>
        <v>600</v>
      </c>
      <c r="P622" s="440">
        <v>550</v>
      </c>
      <c r="Q622" s="279">
        <f t="shared" ref="Q622" si="1787">+P622*$X$1</f>
        <v>550</v>
      </c>
      <c r="R622" s="440">
        <v>450</v>
      </c>
      <c r="S622" s="279">
        <f t="shared" ref="S622" si="1788">+R622*$X$1</f>
        <v>450</v>
      </c>
      <c r="T622" s="440">
        <v>390</v>
      </c>
      <c r="U622" s="279">
        <f t="shared" ref="U622" si="1789">+T622*$X$1</f>
        <v>390</v>
      </c>
      <c r="V622" s="440">
        <v>360</v>
      </c>
      <c r="W622" s="279">
        <f t="shared" ref="W622" si="1790">+V622*$X$1</f>
        <v>360</v>
      </c>
      <c r="X622" s="136"/>
      <c r="Y622" s="131"/>
      <c r="Z622" s="137"/>
      <c r="AA622" s="137"/>
      <c r="AB622" s="38"/>
    </row>
    <row r="623" spans="1:34" ht="9.75" customHeight="1" x14ac:dyDescent="0.2">
      <c r="A623" s="74"/>
      <c r="B623" s="105"/>
      <c r="C623" s="446"/>
      <c r="D623" s="446"/>
      <c r="E623" s="446"/>
      <c r="F623" s="323"/>
      <c r="G623" s="323"/>
      <c r="H623" s="114"/>
      <c r="I623" s="323"/>
      <c r="J623" s="114"/>
      <c r="K623" s="323"/>
      <c r="L623" s="114"/>
      <c r="M623" s="323"/>
      <c r="N623" s="114"/>
      <c r="O623" s="323"/>
      <c r="P623" s="114"/>
      <c r="Q623" s="323"/>
      <c r="R623" s="114"/>
      <c r="S623" s="323"/>
      <c r="T623" s="114"/>
      <c r="U623" s="323"/>
      <c r="V623" s="114"/>
      <c r="W623" s="323"/>
      <c r="X623" s="196"/>
      <c r="Y623" s="74"/>
      <c r="Z623" s="197"/>
      <c r="AA623" s="197"/>
      <c r="AB623" s="198"/>
    </row>
    <row r="624" spans="1:34" ht="14.25" customHeight="1" x14ac:dyDescent="0.2">
      <c r="B624" s="986" t="s">
        <v>799</v>
      </c>
      <c r="C624" s="987"/>
      <c r="D624" s="987"/>
      <c r="E624" s="987"/>
      <c r="F624" s="987"/>
      <c r="G624" s="987"/>
      <c r="H624" s="987"/>
      <c r="I624" s="987"/>
      <c r="J624" s="987"/>
      <c r="K624" s="987"/>
      <c r="L624" s="987"/>
      <c r="M624" s="987"/>
      <c r="N624" s="987"/>
      <c r="O624" s="987"/>
      <c r="P624" s="987"/>
      <c r="Q624" s="987"/>
      <c r="R624" s="987"/>
      <c r="S624" s="987"/>
      <c r="T624" s="987"/>
      <c r="U624" s="987"/>
      <c r="V624" s="987"/>
      <c r="W624" s="987"/>
      <c r="AB624" s="4"/>
      <c r="AF624" s="674"/>
      <c r="AG624" s="675"/>
      <c r="AH624" s="675"/>
    </row>
    <row r="625" spans="1:34" ht="12" customHeight="1" x14ac:dyDescent="0.2">
      <c r="B625" s="1032" t="s">
        <v>11</v>
      </c>
      <c r="C625" s="1032" t="s">
        <v>12</v>
      </c>
      <c r="D625" s="1033"/>
      <c r="E625" s="1033"/>
      <c r="F625" s="764" t="s">
        <v>283</v>
      </c>
      <c r="G625" s="764" t="s">
        <v>13</v>
      </c>
      <c r="H625" s="657" t="s">
        <v>791</v>
      </c>
      <c r="I625" s="657"/>
      <c r="J625" s="658"/>
      <c r="K625" s="658"/>
      <c r="L625" s="658"/>
      <c r="M625" s="658"/>
      <c r="N625" s="658"/>
      <c r="O625" s="658"/>
      <c r="P625" s="658"/>
      <c r="Q625" s="658"/>
      <c r="R625" s="658"/>
      <c r="S625" s="658"/>
      <c r="T625" s="658"/>
      <c r="U625" s="658"/>
      <c r="V625" s="658"/>
      <c r="W625" s="658"/>
      <c r="X625" s="678" t="s">
        <v>14</v>
      </c>
      <c r="Y625" s="679"/>
      <c r="Z625" s="679"/>
      <c r="AA625" s="679"/>
      <c r="AB625" s="676" t="s">
        <v>15</v>
      </c>
      <c r="AF625" s="674"/>
      <c r="AG625" s="675"/>
      <c r="AH625" s="675"/>
    </row>
    <row r="626" spans="1:34" ht="11.25" customHeight="1" x14ac:dyDescent="0.2">
      <c r="B626" s="1033"/>
      <c r="C626" s="1033"/>
      <c r="D626" s="1033"/>
      <c r="E626" s="1033"/>
      <c r="F626" s="765"/>
      <c r="G626" s="765"/>
      <c r="H626" s="452"/>
      <c r="I626" s="451" t="s">
        <v>284</v>
      </c>
      <c r="J626" s="452"/>
      <c r="K626" s="451" t="s">
        <v>285</v>
      </c>
      <c r="L626" s="452"/>
      <c r="M626" s="451" t="s">
        <v>546</v>
      </c>
      <c r="N626" s="452"/>
      <c r="O626" s="451" t="s">
        <v>17</v>
      </c>
      <c r="P626" s="452"/>
      <c r="Q626" s="451" t="s">
        <v>18</v>
      </c>
      <c r="R626" s="452"/>
      <c r="S626" s="451" t="s">
        <v>19</v>
      </c>
      <c r="T626" s="452"/>
      <c r="U626" s="451" t="s">
        <v>286</v>
      </c>
      <c r="V626" s="452"/>
      <c r="W626" s="451" t="s">
        <v>20</v>
      </c>
      <c r="X626" s="681"/>
      <c r="Y626" s="682"/>
      <c r="Z626" s="682"/>
      <c r="AA626" s="682"/>
      <c r="AB626" s="677"/>
    </row>
    <row r="627" spans="1:34" ht="12.6" customHeight="1" x14ac:dyDescent="0.2">
      <c r="A627" s="18"/>
      <c r="B627" s="788" t="s">
        <v>525</v>
      </c>
      <c r="C627" s="789"/>
      <c r="D627" s="789"/>
      <c r="E627" s="790"/>
      <c r="F627" s="308">
        <v>3604</v>
      </c>
      <c r="G627" s="294"/>
      <c r="H627" s="99"/>
      <c r="I627" s="308"/>
      <c r="J627" s="440">
        <f>F627+600</f>
        <v>4204</v>
      </c>
      <c r="K627" s="279">
        <f t="shared" ref="K627" si="1791">+J627*$X$1</f>
        <v>4204</v>
      </c>
      <c r="L627" s="440">
        <f>F627+550</f>
        <v>4154</v>
      </c>
      <c r="M627" s="279">
        <f t="shared" ref="M627" si="1792">+L627*$X$1</f>
        <v>4154</v>
      </c>
      <c r="N627" s="440">
        <f>F627+450</f>
        <v>4054</v>
      </c>
      <c r="O627" s="279">
        <f t="shared" ref="O627" si="1793">+N627*$X$1</f>
        <v>4054</v>
      </c>
      <c r="P627" s="440">
        <f>F627+410</f>
        <v>4014</v>
      </c>
      <c r="Q627" s="279">
        <f t="shared" ref="Q627" si="1794">+P627*$X$1</f>
        <v>4014</v>
      </c>
      <c r="R627" s="440">
        <f>F627+360</f>
        <v>3964</v>
      </c>
      <c r="S627" s="279">
        <f t="shared" ref="S627" si="1795">+R627*$X$1</f>
        <v>3964</v>
      </c>
      <c r="T627" s="440">
        <f>F627+320</f>
        <v>3924</v>
      </c>
      <c r="U627" s="279">
        <f t="shared" ref="U627" si="1796">+T627*$X$1</f>
        <v>3924</v>
      </c>
      <c r="V627" s="440">
        <f>F627+290</f>
        <v>3894</v>
      </c>
      <c r="W627" s="279">
        <f t="shared" ref="W627" si="1797">+V627*$X$1</f>
        <v>3894</v>
      </c>
      <c r="X627" s="139"/>
      <c r="Y627" s="140"/>
      <c r="Z627" s="140"/>
      <c r="AA627" s="140"/>
      <c r="AB627" s="399" t="s">
        <v>767</v>
      </c>
    </row>
    <row r="628" spans="1:34" ht="12.6" customHeight="1" x14ac:dyDescent="0.2">
      <c r="A628" s="18"/>
      <c r="B628" s="733" t="s">
        <v>383</v>
      </c>
      <c r="C628" s="784"/>
      <c r="D628" s="784"/>
      <c r="E628" s="785"/>
      <c r="F628" s="278">
        <v>1400</v>
      </c>
      <c r="G628" s="251"/>
      <c r="H628" s="643"/>
      <c r="I628" s="278"/>
      <c r="J628" s="643"/>
      <c r="K628" s="278"/>
      <c r="L628" s="643">
        <f>F628+550</f>
        <v>1950</v>
      </c>
      <c r="M628" s="278">
        <f t="shared" ref="M628" si="1798">+L628*$X$1</f>
        <v>1950</v>
      </c>
      <c r="N628" s="643">
        <f>F628+450</f>
        <v>1850</v>
      </c>
      <c r="O628" s="278">
        <f t="shared" ref="O628" si="1799">+N628*$X$1</f>
        <v>1850</v>
      </c>
      <c r="P628" s="643">
        <f>F628+410</f>
        <v>1810</v>
      </c>
      <c r="Q628" s="278">
        <f t="shared" ref="Q628" si="1800">+P628*$X$1</f>
        <v>1810</v>
      </c>
      <c r="R628" s="643">
        <f>F628+360</f>
        <v>1760</v>
      </c>
      <c r="S628" s="278">
        <f t="shared" ref="S628" si="1801">+R628*$X$1</f>
        <v>1760</v>
      </c>
      <c r="T628" s="643">
        <f>F628+320</f>
        <v>1720</v>
      </c>
      <c r="U628" s="278">
        <f t="shared" ref="U628" si="1802">+T628*$X$1</f>
        <v>1720</v>
      </c>
      <c r="V628" s="643">
        <f>F628+290</f>
        <v>1690</v>
      </c>
      <c r="W628" s="278">
        <f t="shared" ref="W628" si="1803">+V628*$X$1</f>
        <v>1690</v>
      </c>
      <c r="X628" s="139"/>
      <c r="Y628" s="140"/>
      <c r="Z628" s="140"/>
      <c r="AA628" s="140"/>
      <c r="AB628" s="32"/>
    </row>
    <row r="629" spans="1:34" ht="12.6" customHeight="1" x14ac:dyDescent="0.2">
      <c r="A629" s="18"/>
      <c r="B629" s="748" t="s">
        <v>425</v>
      </c>
      <c r="C629" s="772"/>
      <c r="D629" s="772"/>
      <c r="E629" s="773"/>
      <c r="F629" s="308">
        <v>4028</v>
      </c>
      <c r="G629" s="294"/>
      <c r="H629" s="440">
        <f>F629+1300</f>
        <v>5328</v>
      </c>
      <c r="I629" s="279">
        <f t="shared" ref="I629" si="1804">+H629*$X$1</f>
        <v>5328</v>
      </c>
      <c r="J629" s="440">
        <f>F629+600</f>
        <v>4628</v>
      </c>
      <c r="K629" s="279">
        <f t="shared" ref="K629" si="1805">+J629*$X$1</f>
        <v>4628</v>
      </c>
      <c r="L629" s="440">
        <f>F629+550</f>
        <v>4578</v>
      </c>
      <c r="M629" s="279">
        <f t="shared" ref="M629" si="1806">+L629*$X$1</f>
        <v>4578</v>
      </c>
      <c r="N629" s="440">
        <f>F629+450</f>
        <v>4478</v>
      </c>
      <c r="O629" s="279">
        <f t="shared" ref="O629" si="1807">+N629*$X$1</f>
        <v>4478</v>
      </c>
      <c r="P629" s="440">
        <f>F629+410</f>
        <v>4438</v>
      </c>
      <c r="Q629" s="279">
        <f t="shared" ref="Q629" si="1808">+P629*$X$1</f>
        <v>4438</v>
      </c>
      <c r="R629" s="440">
        <f>F629+360</f>
        <v>4388</v>
      </c>
      <c r="S629" s="279">
        <f t="shared" ref="S629" si="1809">+R629*$X$1</f>
        <v>4388</v>
      </c>
      <c r="T629" s="440">
        <f>F629+320</f>
        <v>4348</v>
      </c>
      <c r="U629" s="279">
        <f t="shared" ref="U629" si="1810">+T629*$X$1</f>
        <v>4348</v>
      </c>
      <c r="V629" s="440">
        <f>F629+290</f>
        <v>4318</v>
      </c>
      <c r="W629" s="279">
        <f t="shared" ref="W629" si="1811">+V629*$X$1</f>
        <v>4318</v>
      </c>
      <c r="X629" s="139"/>
      <c r="Y629" s="140"/>
      <c r="Z629" s="140"/>
      <c r="AA629" s="140"/>
      <c r="AB629" s="385" t="s">
        <v>768</v>
      </c>
    </row>
    <row r="630" spans="1:34" ht="12.6" customHeight="1" x14ac:dyDescent="0.2">
      <c r="A630" s="18"/>
      <c r="B630" s="1118" t="s">
        <v>287</v>
      </c>
      <c r="C630" s="1119"/>
      <c r="D630" s="1119"/>
      <c r="E630" s="1120"/>
      <c r="F630" s="571">
        <v>3106</v>
      </c>
      <c r="G630" s="251"/>
      <c r="H630" s="643"/>
      <c r="I630" s="278"/>
      <c r="J630" s="643">
        <f t="shared" ref="J630:J636" si="1812">F630+600</f>
        <v>3706</v>
      </c>
      <c r="K630" s="278">
        <f t="shared" ref="K630:K636" si="1813">+J630*$X$1</f>
        <v>3706</v>
      </c>
      <c r="L630" s="643">
        <f t="shared" ref="L630:L636" si="1814">F630+550</f>
        <v>3656</v>
      </c>
      <c r="M630" s="278">
        <f t="shared" ref="M630:M636" si="1815">+L630*$X$1</f>
        <v>3656</v>
      </c>
      <c r="N630" s="643">
        <f t="shared" ref="N630:N636" si="1816">F630+450</f>
        <v>3556</v>
      </c>
      <c r="O630" s="278">
        <f t="shared" ref="O630:O636" si="1817">+N630*$X$1</f>
        <v>3556</v>
      </c>
      <c r="P630" s="643">
        <f t="shared" ref="P630:P636" si="1818">F630+410</f>
        <v>3516</v>
      </c>
      <c r="Q630" s="278">
        <f t="shared" ref="Q630:Q636" si="1819">+P630*$X$1</f>
        <v>3516</v>
      </c>
      <c r="R630" s="643">
        <f t="shared" ref="R630:R636" si="1820">F630+360</f>
        <v>3466</v>
      </c>
      <c r="S630" s="278">
        <f t="shared" ref="S630:S636" si="1821">+R630*$X$1</f>
        <v>3466</v>
      </c>
      <c r="T630" s="643">
        <f t="shared" ref="T630:T636" si="1822">F630+320</f>
        <v>3426</v>
      </c>
      <c r="U630" s="278">
        <f t="shared" ref="U630:U636" si="1823">+T630*$X$1</f>
        <v>3426</v>
      </c>
      <c r="V630" s="643">
        <f t="shared" ref="V630:V636" si="1824">F630+290</f>
        <v>3396</v>
      </c>
      <c r="W630" s="278">
        <f t="shared" ref="W630:W636" si="1825">+V630*$X$1</f>
        <v>3396</v>
      </c>
      <c r="X630" s="139"/>
      <c r="Y630" s="140"/>
      <c r="Z630" s="140"/>
      <c r="AA630" s="140"/>
      <c r="AB630" s="385" t="s">
        <v>859</v>
      </c>
    </row>
    <row r="631" spans="1:34" ht="12.6" customHeight="1" x14ac:dyDescent="0.2">
      <c r="A631" s="18"/>
      <c r="B631" s="693" t="s">
        <v>288</v>
      </c>
      <c r="C631" s="694"/>
      <c r="D631" s="694"/>
      <c r="E631" s="694"/>
      <c r="F631" s="279">
        <v>2862</v>
      </c>
      <c r="G631" s="294"/>
      <c r="H631" s="440"/>
      <c r="I631" s="279"/>
      <c r="J631" s="440">
        <f t="shared" si="1812"/>
        <v>3462</v>
      </c>
      <c r="K631" s="279">
        <f t="shared" si="1813"/>
        <v>3462</v>
      </c>
      <c r="L631" s="440">
        <f t="shared" si="1814"/>
        <v>3412</v>
      </c>
      <c r="M631" s="279">
        <f t="shared" si="1815"/>
        <v>3412</v>
      </c>
      <c r="N631" s="440">
        <f t="shared" si="1816"/>
        <v>3312</v>
      </c>
      <c r="O631" s="279">
        <f t="shared" si="1817"/>
        <v>3312</v>
      </c>
      <c r="P631" s="440">
        <f t="shared" si="1818"/>
        <v>3272</v>
      </c>
      <c r="Q631" s="279">
        <f t="shared" si="1819"/>
        <v>3272</v>
      </c>
      <c r="R631" s="440">
        <f t="shared" si="1820"/>
        <v>3222</v>
      </c>
      <c r="S631" s="279">
        <f t="shared" si="1821"/>
        <v>3222</v>
      </c>
      <c r="T631" s="440">
        <f t="shared" si="1822"/>
        <v>3182</v>
      </c>
      <c r="U631" s="279">
        <f t="shared" si="1823"/>
        <v>3182</v>
      </c>
      <c r="V631" s="440">
        <f t="shared" si="1824"/>
        <v>3152</v>
      </c>
      <c r="W631" s="279">
        <f t="shared" si="1825"/>
        <v>3152</v>
      </c>
      <c r="X631" s="139"/>
      <c r="Y631" s="140"/>
      <c r="Z631" s="140"/>
      <c r="AA631" s="140"/>
      <c r="AB631" s="385" t="s">
        <v>769</v>
      </c>
    </row>
    <row r="632" spans="1:34" ht="12.6" customHeight="1" x14ac:dyDescent="0.2">
      <c r="A632" s="18"/>
      <c r="B632" s="1023" t="s">
        <v>752</v>
      </c>
      <c r="C632" s="1024"/>
      <c r="D632" s="1024"/>
      <c r="E632" s="1025"/>
      <c r="F632" s="295">
        <v>7740</v>
      </c>
      <c r="G632" s="251"/>
      <c r="H632" s="607">
        <f>F632+1300</f>
        <v>9040</v>
      </c>
      <c r="I632" s="278">
        <f t="shared" ref="I632:I633" si="1826">+H632*$X$1</f>
        <v>9040</v>
      </c>
      <c r="J632" s="607">
        <f t="shared" si="1812"/>
        <v>8340</v>
      </c>
      <c r="K632" s="278">
        <f t="shared" si="1813"/>
        <v>8340</v>
      </c>
      <c r="L632" s="607">
        <f t="shared" si="1814"/>
        <v>8290</v>
      </c>
      <c r="M632" s="278">
        <f t="shared" si="1815"/>
        <v>8290</v>
      </c>
      <c r="N632" s="607">
        <f t="shared" si="1816"/>
        <v>8190</v>
      </c>
      <c r="O632" s="278">
        <f t="shared" si="1817"/>
        <v>8190</v>
      </c>
      <c r="P632" s="607">
        <f t="shared" si="1818"/>
        <v>8150</v>
      </c>
      <c r="Q632" s="278">
        <f t="shared" si="1819"/>
        <v>8150</v>
      </c>
      <c r="R632" s="607">
        <f t="shared" si="1820"/>
        <v>8100</v>
      </c>
      <c r="S632" s="278">
        <f t="shared" si="1821"/>
        <v>8100</v>
      </c>
      <c r="T632" s="607">
        <f t="shared" si="1822"/>
        <v>8060</v>
      </c>
      <c r="U632" s="278">
        <f t="shared" si="1823"/>
        <v>8060</v>
      </c>
      <c r="V632" s="607">
        <f t="shared" si="1824"/>
        <v>8030</v>
      </c>
      <c r="W632" s="278">
        <f t="shared" si="1825"/>
        <v>8030</v>
      </c>
      <c r="X632" s="139"/>
      <c r="Y632" s="140"/>
      <c r="Z632" s="140"/>
      <c r="AA632" s="140"/>
      <c r="AB632" s="32"/>
    </row>
    <row r="633" spans="1:34" ht="12.6" customHeight="1" x14ac:dyDescent="0.2">
      <c r="A633" s="18"/>
      <c r="B633" s="748" t="s">
        <v>484</v>
      </c>
      <c r="C633" s="772"/>
      <c r="D633" s="772"/>
      <c r="E633" s="773"/>
      <c r="F633" s="308">
        <v>7420</v>
      </c>
      <c r="G633" s="294"/>
      <c r="H633" s="440">
        <f>F633+1300</f>
        <v>8720</v>
      </c>
      <c r="I633" s="279">
        <f t="shared" si="1826"/>
        <v>8720</v>
      </c>
      <c r="J633" s="440">
        <f t="shared" si="1812"/>
        <v>8020</v>
      </c>
      <c r="K633" s="279">
        <f t="shared" si="1813"/>
        <v>8020</v>
      </c>
      <c r="L633" s="440">
        <f t="shared" si="1814"/>
        <v>7970</v>
      </c>
      <c r="M633" s="279">
        <f t="shared" si="1815"/>
        <v>7970</v>
      </c>
      <c r="N633" s="440">
        <f t="shared" si="1816"/>
        <v>7870</v>
      </c>
      <c r="O633" s="279">
        <f t="shared" si="1817"/>
        <v>7870</v>
      </c>
      <c r="P633" s="440">
        <f t="shared" si="1818"/>
        <v>7830</v>
      </c>
      <c r="Q633" s="279">
        <f t="shared" si="1819"/>
        <v>7830</v>
      </c>
      <c r="R633" s="440">
        <f t="shared" si="1820"/>
        <v>7780</v>
      </c>
      <c r="S633" s="279">
        <f t="shared" si="1821"/>
        <v>7780</v>
      </c>
      <c r="T633" s="440">
        <f t="shared" si="1822"/>
        <v>7740</v>
      </c>
      <c r="U633" s="279">
        <f t="shared" si="1823"/>
        <v>7740</v>
      </c>
      <c r="V633" s="440">
        <f t="shared" si="1824"/>
        <v>7710</v>
      </c>
      <c r="W633" s="279">
        <f t="shared" si="1825"/>
        <v>7710</v>
      </c>
      <c r="X633" s="139"/>
      <c r="Y633" s="140"/>
      <c r="Z633" s="140"/>
      <c r="AA633" s="140"/>
      <c r="AB633" s="32"/>
    </row>
    <row r="634" spans="1:34" ht="12.6" customHeight="1" x14ac:dyDescent="0.2">
      <c r="A634" s="4"/>
      <c r="B634" s="742" t="s">
        <v>431</v>
      </c>
      <c r="C634" s="734"/>
      <c r="D634" s="734"/>
      <c r="E634" s="735"/>
      <c r="F634" s="278">
        <v>1900</v>
      </c>
      <c r="G634" s="251"/>
      <c r="H634" s="607"/>
      <c r="I634" s="278"/>
      <c r="J634" s="607">
        <f t="shared" si="1812"/>
        <v>2500</v>
      </c>
      <c r="K634" s="278">
        <f t="shared" si="1813"/>
        <v>2500</v>
      </c>
      <c r="L634" s="607">
        <f t="shared" si="1814"/>
        <v>2450</v>
      </c>
      <c r="M634" s="278">
        <f t="shared" si="1815"/>
        <v>2450</v>
      </c>
      <c r="N634" s="607">
        <f t="shared" si="1816"/>
        <v>2350</v>
      </c>
      <c r="O634" s="278">
        <f t="shared" si="1817"/>
        <v>2350</v>
      </c>
      <c r="P634" s="607">
        <f t="shared" si="1818"/>
        <v>2310</v>
      </c>
      <c r="Q634" s="278">
        <f t="shared" si="1819"/>
        <v>2310</v>
      </c>
      <c r="R634" s="607">
        <f t="shared" si="1820"/>
        <v>2260</v>
      </c>
      <c r="S634" s="278">
        <f t="shared" si="1821"/>
        <v>2260</v>
      </c>
      <c r="T634" s="607">
        <f t="shared" si="1822"/>
        <v>2220</v>
      </c>
      <c r="U634" s="278">
        <f t="shared" si="1823"/>
        <v>2220</v>
      </c>
      <c r="V634" s="607">
        <f t="shared" si="1824"/>
        <v>2190</v>
      </c>
      <c r="W634" s="278">
        <f t="shared" si="1825"/>
        <v>2190</v>
      </c>
      <c r="X634" s="139"/>
      <c r="Y634" s="128"/>
      <c r="Z634" s="141"/>
      <c r="AA634" s="141"/>
      <c r="AB634" s="385" t="s">
        <v>430</v>
      </c>
    </row>
    <row r="635" spans="1:34" ht="12.6" customHeight="1" x14ac:dyDescent="0.2">
      <c r="A635" s="4"/>
      <c r="B635" s="739" t="s">
        <v>429</v>
      </c>
      <c r="C635" s="772"/>
      <c r="D635" s="772"/>
      <c r="E635" s="773"/>
      <c r="F635" s="279">
        <v>1900</v>
      </c>
      <c r="G635" s="294"/>
      <c r="H635" s="440"/>
      <c r="I635" s="279"/>
      <c r="J635" s="440">
        <f t="shared" si="1812"/>
        <v>2500</v>
      </c>
      <c r="K635" s="279">
        <f t="shared" si="1813"/>
        <v>2500</v>
      </c>
      <c r="L635" s="440">
        <f t="shared" si="1814"/>
        <v>2450</v>
      </c>
      <c r="M635" s="279">
        <f t="shared" si="1815"/>
        <v>2450</v>
      </c>
      <c r="N635" s="440">
        <f t="shared" si="1816"/>
        <v>2350</v>
      </c>
      <c r="O635" s="279">
        <f t="shared" si="1817"/>
        <v>2350</v>
      </c>
      <c r="P635" s="440">
        <f t="shared" si="1818"/>
        <v>2310</v>
      </c>
      <c r="Q635" s="279">
        <f t="shared" si="1819"/>
        <v>2310</v>
      </c>
      <c r="R635" s="440">
        <f t="shared" si="1820"/>
        <v>2260</v>
      </c>
      <c r="S635" s="279">
        <f t="shared" si="1821"/>
        <v>2260</v>
      </c>
      <c r="T635" s="440">
        <f t="shared" si="1822"/>
        <v>2220</v>
      </c>
      <c r="U635" s="279">
        <f t="shared" si="1823"/>
        <v>2220</v>
      </c>
      <c r="V635" s="440">
        <f t="shared" si="1824"/>
        <v>2190</v>
      </c>
      <c r="W635" s="279">
        <f t="shared" si="1825"/>
        <v>2190</v>
      </c>
      <c r="X635" s="139"/>
      <c r="Y635" s="128"/>
      <c r="Z635" s="141"/>
      <c r="AA635" s="141"/>
      <c r="AB635" s="385" t="s">
        <v>426</v>
      </c>
    </row>
    <row r="636" spans="1:34" ht="12.6" customHeight="1" x14ac:dyDescent="0.2">
      <c r="A636" s="4"/>
      <c r="B636" s="742" t="s">
        <v>427</v>
      </c>
      <c r="C636" s="734"/>
      <c r="D636" s="734"/>
      <c r="E636" s="735"/>
      <c r="F636" s="278">
        <v>2800</v>
      </c>
      <c r="G636" s="251"/>
      <c r="H636" s="607"/>
      <c r="I636" s="278"/>
      <c r="J636" s="607">
        <f t="shared" si="1812"/>
        <v>3400</v>
      </c>
      <c r="K636" s="278">
        <f t="shared" si="1813"/>
        <v>3400</v>
      </c>
      <c r="L636" s="607">
        <f t="shared" si="1814"/>
        <v>3350</v>
      </c>
      <c r="M636" s="278">
        <f t="shared" si="1815"/>
        <v>3350</v>
      </c>
      <c r="N636" s="607">
        <f t="shared" si="1816"/>
        <v>3250</v>
      </c>
      <c r="O636" s="278">
        <f t="shared" si="1817"/>
        <v>3250</v>
      </c>
      <c r="P636" s="607">
        <f t="shared" si="1818"/>
        <v>3210</v>
      </c>
      <c r="Q636" s="278">
        <f t="shared" si="1819"/>
        <v>3210</v>
      </c>
      <c r="R636" s="607">
        <f t="shared" si="1820"/>
        <v>3160</v>
      </c>
      <c r="S636" s="278">
        <f t="shared" si="1821"/>
        <v>3160</v>
      </c>
      <c r="T636" s="607">
        <f t="shared" si="1822"/>
        <v>3120</v>
      </c>
      <c r="U636" s="278">
        <f t="shared" si="1823"/>
        <v>3120</v>
      </c>
      <c r="V636" s="607">
        <f t="shared" si="1824"/>
        <v>3090</v>
      </c>
      <c r="W636" s="278">
        <f t="shared" si="1825"/>
        <v>3090</v>
      </c>
      <c r="X636" s="139"/>
      <c r="Y636" s="128"/>
      <c r="Z636" s="141"/>
      <c r="AA636" s="141"/>
      <c r="AB636" s="385" t="s">
        <v>428</v>
      </c>
    </row>
    <row r="637" spans="1:34" ht="12.6" customHeight="1" x14ac:dyDescent="0.2">
      <c r="A637" s="4"/>
      <c r="B637" s="711" t="s">
        <v>289</v>
      </c>
      <c r="C637" s="745"/>
      <c r="D637" s="745"/>
      <c r="E637" s="745"/>
      <c r="F637" s="97"/>
      <c r="G637" s="92"/>
      <c r="H637" s="91"/>
      <c r="I637" s="91"/>
      <c r="J637" s="91"/>
      <c r="K637" s="91"/>
      <c r="L637" s="91"/>
      <c r="M637" s="91"/>
      <c r="N637" s="91"/>
      <c r="O637" s="91"/>
      <c r="P637" s="91"/>
      <c r="Q637" s="91"/>
      <c r="R637" s="91"/>
      <c r="S637" s="91"/>
      <c r="T637" s="91"/>
      <c r="U637" s="91"/>
      <c r="V637" s="91"/>
      <c r="W637" s="91"/>
      <c r="X637" s="136"/>
      <c r="Y637" s="131"/>
      <c r="Z637" s="137"/>
      <c r="AA637" s="138"/>
      <c r="AB637" s="385">
        <v>986</v>
      </c>
    </row>
    <row r="638" spans="1:34" ht="12.6" customHeight="1" x14ac:dyDescent="0.2">
      <c r="A638" s="4"/>
      <c r="B638" s="746" t="s">
        <v>351</v>
      </c>
      <c r="C638" s="763"/>
      <c r="D638" s="763"/>
      <c r="E638" s="763"/>
      <c r="F638" s="374"/>
      <c r="G638" s="94"/>
      <c r="H638" s="598"/>
      <c r="I638" s="598"/>
      <c r="J638" s="598"/>
      <c r="K638" s="598"/>
      <c r="L638" s="598"/>
      <c r="M638" s="598"/>
      <c r="N638" s="598"/>
      <c r="O638" s="598"/>
      <c r="P638" s="598"/>
      <c r="Q638" s="598"/>
      <c r="R638" s="598"/>
      <c r="S638" s="598"/>
      <c r="T638" s="598"/>
      <c r="U638" s="598"/>
      <c r="V638" s="598"/>
      <c r="W638" s="598"/>
      <c r="X638" s="136"/>
      <c r="Y638" s="131"/>
      <c r="Z638" s="137"/>
      <c r="AA638" s="138"/>
      <c r="AB638" s="385">
        <v>987</v>
      </c>
    </row>
    <row r="639" spans="1:34" ht="12.6" customHeight="1" x14ac:dyDescent="0.2">
      <c r="A639" s="4"/>
      <c r="B639" s="711" t="s">
        <v>290</v>
      </c>
      <c r="C639" s="673"/>
      <c r="D639" s="673"/>
      <c r="E639" s="673"/>
      <c r="F639" s="91"/>
      <c r="G639" s="92"/>
      <c r="H639" s="91"/>
      <c r="I639" s="91"/>
      <c r="J639" s="91"/>
      <c r="K639" s="91"/>
      <c r="L639" s="91"/>
      <c r="M639" s="91"/>
      <c r="N639" s="91"/>
      <c r="O639" s="91"/>
      <c r="P639" s="91"/>
      <c r="Q639" s="91"/>
      <c r="R639" s="91"/>
      <c r="S639" s="91"/>
      <c r="T639" s="91"/>
      <c r="U639" s="91"/>
      <c r="V639" s="91"/>
      <c r="W639" s="91"/>
      <c r="X639" s="136"/>
      <c r="Y639" s="131"/>
      <c r="Z639" s="137"/>
      <c r="AA639" s="138"/>
      <c r="AB639" s="385">
        <v>989</v>
      </c>
    </row>
    <row r="640" spans="1:34" ht="12.6" customHeight="1" x14ac:dyDescent="0.2">
      <c r="A640" s="4"/>
      <c r="B640" s="105"/>
      <c r="C640" s="195"/>
      <c r="D640" s="195"/>
      <c r="E640" s="195"/>
      <c r="F640" s="114"/>
      <c r="G640" s="114"/>
      <c r="H640" s="114"/>
      <c r="I640" s="114"/>
      <c r="J640" s="114"/>
      <c r="K640" s="114"/>
      <c r="L640" s="114"/>
      <c r="M640" s="114"/>
      <c r="N640" s="114"/>
      <c r="O640" s="114"/>
      <c r="P640" s="114"/>
      <c r="Q640" s="114"/>
      <c r="R640" s="114"/>
      <c r="S640" s="114"/>
      <c r="T640" s="114"/>
      <c r="U640" s="114"/>
      <c r="V640" s="114"/>
      <c r="W640" s="114"/>
      <c r="X640" s="196"/>
      <c r="Y640" s="74"/>
      <c r="Z640" s="197"/>
      <c r="AA640" s="197"/>
      <c r="AB640" s="38"/>
    </row>
    <row r="641" spans="1:38" ht="12.6" customHeight="1" x14ac:dyDescent="0.2">
      <c r="A641" s="4"/>
      <c r="B641" s="105"/>
      <c r="C641" s="195"/>
      <c r="D641" s="195"/>
      <c r="E641" s="195"/>
      <c r="F641" s="114"/>
      <c r="G641" s="114"/>
      <c r="H641" s="114"/>
      <c r="I641" s="114"/>
      <c r="J641" s="114"/>
      <c r="K641" s="114"/>
      <c r="L641" s="114"/>
      <c r="M641" s="114"/>
      <c r="N641" s="114"/>
      <c r="O641" s="114"/>
      <c r="P641" s="114"/>
      <c r="Q641" s="114"/>
      <c r="R641" s="114"/>
      <c r="S641" s="114"/>
      <c r="T641" s="114"/>
      <c r="U641" s="114"/>
      <c r="V641" s="114"/>
      <c r="W641" s="114"/>
      <c r="X641" s="196"/>
      <c r="Y641" s="74"/>
      <c r="Z641" s="197"/>
      <c r="AA641" s="197"/>
      <c r="AB641" s="38"/>
    </row>
    <row r="642" spans="1:38" ht="15.75" customHeight="1" x14ac:dyDescent="0.2">
      <c r="B642" s="986" t="s">
        <v>291</v>
      </c>
      <c r="C642" s="987"/>
      <c r="D642" s="987"/>
      <c r="E642" s="987"/>
      <c r="F642" s="987"/>
      <c r="G642" s="987"/>
      <c r="H642" s="987"/>
      <c r="I642" s="987"/>
      <c r="J642" s="987"/>
      <c r="K642" s="987"/>
      <c r="L642" s="987"/>
      <c r="M642" s="987"/>
      <c r="N642" s="987"/>
      <c r="O642" s="987"/>
      <c r="P642" s="987"/>
      <c r="Q642" s="987"/>
      <c r="R642" s="987"/>
      <c r="S642" s="987"/>
      <c r="T642" s="1130"/>
      <c r="U642" s="1130"/>
      <c r="V642" s="1131"/>
      <c r="W642" s="1131"/>
      <c r="AB642" s="4"/>
    </row>
    <row r="643" spans="1:38" ht="14.25" customHeight="1" x14ac:dyDescent="0.2">
      <c r="B643" s="1032" t="s">
        <v>11</v>
      </c>
      <c r="C643" s="1032" t="s">
        <v>12</v>
      </c>
      <c r="D643" s="1033"/>
      <c r="E643" s="1033"/>
      <c r="F643" s="764" t="s">
        <v>283</v>
      </c>
      <c r="G643" s="764" t="s">
        <v>13</v>
      </c>
      <c r="H643" s="657" t="s">
        <v>790</v>
      </c>
      <c r="I643" s="657"/>
      <c r="J643" s="658"/>
      <c r="K643" s="658"/>
      <c r="L643" s="658"/>
      <c r="M643" s="658"/>
      <c r="N643" s="658"/>
      <c r="O643" s="658"/>
      <c r="P643" s="658"/>
      <c r="Q643" s="658"/>
      <c r="R643" s="658"/>
      <c r="S643" s="658"/>
      <c r="T643" s="658"/>
      <c r="U643" s="658"/>
      <c r="V643" s="658"/>
      <c r="W643" s="658"/>
      <c r="X643" s="678" t="s">
        <v>14</v>
      </c>
      <c r="Y643" s="1158"/>
      <c r="Z643" s="1158"/>
      <c r="AA643" s="1159"/>
      <c r="AB643" s="676" t="s">
        <v>15</v>
      </c>
      <c r="AF643" s="674" t="s">
        <v>3</v>
      </c>
      <c r="AG643" s="675"/>
      <c r="AH643" s="675"/>
    </row>
    <row r="644" spans="1:38" ht="12" customHeight="1" x14ac:dyDescent="0.2">
      <c r="B644" s="1033"/>
      <c r="C644" s="1033"/>
      <c r="D644" s="1033"/>
      <c r="E644" s="1033"/>
      <c r="F644" s="765"/>
      <c r="G644" s="765"/>
      <c r="H644" s="450"/>
      <c r="I644" s="451" t="s">
        <v>544</v>
      </c>
      <c r="J644" s="450"/>
      <c r="K644" s="451" t="s">
        <v>284</v>
      </c>
      <c r="L644" s="451"/>
      <c r="M644" s="451" t="s">
        <v>285</v>
      </c>
      <c r="N644" s="451"/>
      <c r="O644" s="451" t="s">
        <v>546</v>
      </c>
      <c r="P644" s="451"/>
      <c r="Q644" s="451" t="s">
        <v>17</v>
      </c>
      <c r="R644" s="451"/>
      <c r="S644" s="451" t="s">
        <v>18</v>
      </c>
      <c r="T644" s="451"/>
      <c r="U644" s="451" t="s">
        <v>19</v>
      </c>
      <c r="V644" s="451"/>
      <c r="W644" s="451" t="s">
        <v>547</v>
      </c>
      <c r="X644" s="1160"/>
      <c r="Y644" s="1161"/>
      <c r="Z644" s="1161"/>
      <c r="AA644" s="1162"/>
      <c r="AB644" s="677"/>
    </row>
    <row r="645" spans="1:38" ht="12.6" customHeight="1" x14ac:dyDescent="0.2">
      <c r="B645" s="804" t="s">
        <v>736</v>
      </c>
      <c r="C645" s="804"/>
      <c r="D645" s="804"/>
      <c r="E645" s="804"/>
      <c r="F645" s="495">
        <f>21.73*X2</f>
        <v>23859.54</v>
      </c>
      <c r="G645" s="295">
        <f>+F645*$X$1</f>
        <v>23859.54</v>
      </c>
      <c r="H645" s="100">
        <f>F645+4000</f>
        <v>27859.54</v>
      </c>
      <c r="I645" s="295">
        <f t="shared" ref="I645" si="1827">+H645*$X$1</f>
        <v>27859.54</v>
      </c>
      <c r="J645" s="70">
        <f>F645+1000</f>
        <v>24859.54</v>
      </c>
      <c r="K645" s="278">
        <f>+J645*$X$1</f>
        <v>24859.54</v>
      </c>
      <c r="L645" s="607">
        <f>F645+650</f>
        <v>24509.54</v>
      </c>
      <c r="M645" s="278">
        <f>+L645*$X$1</f>
        <v>24509.54</v>
      </c>
      <c r="N645" s="607">
        <f>F645+500</f>
        <v>24359.54</v>
      </c>
      <c r="O645" s="278">
        <f>+N645*$X$1</f>
        <v>24359.54</v>
      </c>
      <c r="P645" s="607">
        <f>F645+400</f>
        <v>24259.54</v>
      </c>
      <c r="Q645" s="278">
        <f>+P645*$X$1</f>
        <v>24259.54</v>
      </c>
      <c r="R645" s="607">
        <f>F645+330</f>
        <v>24189.54</v>
      </c>
      <c r="S645" s="278">
        <f>+R645*$X$1</f>
        <v>24189.54</v>
      </c>
      <c r="T645" s="607">
        <f>F645+280</f>
        <v>24139.54</v>
      </c>
      <c r="U645" s="278">
        <f>+T645*$X$1</f>
        <v>24139.54</v>
      </c>
      <c r="V645" s="607">
        <f>F645+230</f>
        <v>24089.54</v>
      </c>
      <c r="W645" s="278">
        <f>+V645*$X$1</f>
        <v>24089.54</v>
      </c>
      <c r="X645" s="437"/>
      <c r="Y645" s="133"/>
      <c r="Z645" s="131"/>
      <c r="AA645" s="134"/>
      <c r="AB645" s="405" t="s">
        <v>737</v>
      </c>
    </row>
    <row r="646" spans="1:38" ht="12.6" customHeight="1" x14ac:dyDescent="0.2">
      <c r="B646" s="711" t="s">
        <v>292</v>
      </c>
      <c r="C646" s="711"/>
      <c r="D646" s="711"/>
      <c r="E646" s="711"/>
      <c r="F646" s="434"/>
      <c r="G646" s="440"/>
      <c r="H646" s="102"/>
      <c r="I646" s="102"/>
      <c r="J646" s="440"/>
      <c r="K646" s="440"/>
      <c r="L646" s="440"/>
      <c r="M646" s="440"/>
      <c r="N646" s="112"/>
      <c r="O646" s="440"/>
      <c r="P646" s="440"/>
      <c r="Q646" s="440"/>
      <c r="R646" s="440"/>
      <c r="S646" s="440"/>
      <c r="T646" s="440"/>
      <c r="U646" s="440"/>
      <c r="V646" s="271"/>
      <c r="W646" s="564"/>
      <c r="X646" s="131"/>
      <c r="Y646" s="131"/>
      <c r="Z646" s="131"/>
      <c r="AA646" s="134"/>
      <c r="AB646" s="404" t="s">
        <v>293</v>
      </c>
    </row>
    <row r="647" spans="1:38" ht="12.6" customHeight="1" x14ac:dyDescent="0.2">
      <c r="B647" s="746" t="s">
        <v>294</v>
      </c>
      <c r="C647" s="746"/>
      <c r="D647" s="746"/>
      <c r="E647" s="746"/>
      <c r="F647" s="113"/>
      <c r="G647" s="550"/>
      <c r="H647" s="98"/>
      <c r="I647" s="98"/>
      <c r="J647" s="607"/>
      <c r="K647" s="607"/>
      <c r="L647" s="607"/>
      <c r="M647" s="607"/>
      <c r="N647" s="111"/>
      <c r="O647" s="607"/>
      <c r="P647" s="607"/>
      <c r="Q647" s="607"/>
      <c r="R647" s="607"/>
      <c r="S647" s="607"/>
      <c r="T647" s="607"/>
      <c r="U647" s="607"/>
      <c r="V647" s="272"/>
      <c r="W647" s="565"/>
      <c r="X647" s="131"/>
      <c r="Y647" s="131"/>
      <c r="Z647" s="131"/>
      <c r="AA647" s="134"/>
      <c r="AB647" s="404" t="s">
        <v>295</v>
      </c>
    </row>
    <row r="648" spans="1:38" ht="12.6" customHeight="1" x14ac:dyDescent="0.2">
      <c r="B648" s="711" t="s">
        <v>701</v>
      </c>
      <c r="C648" s="711"/>
      <c r="D648" s="711"/>
      <c r="E648" s="711"/>
      <c r="F648" s="436">
        <f>20.59*X2</f>
        <v>22607.82</v>
      </c>
      <c r="G648" s="279">
        <f>+F648*$X$1</f>
        <v>22607.82</v>
      </c>
      <c r="H648" s="440">
        <f>F648+4000</f>
        <v>26607.82</v>
      </c>
      <c r="I648" s="279">
        <f t="shared" ref="I648" si="1828">+H648*$X$1</f>
        <v>26607.82</v>
      </c>
      <c r="J648" s="440">
        <f>F648+1000</f>
        <v>23607.82</v>
      </c>
      <c r="K648" s="279">
        <f t="shared" ref="K648" si="1829">+J648*$X$1</f>
        <v>23607.82</v>
      </c>
      <c r="L648" s="440">
        <f>F648+700</f>
        <v>23307.82</v>
      </c>
      <c r="M648" s="279">
        <f t="shared" ref="M648" si="1830">+L648*$X$1</f>
        <v>23307.82</v>
      </c>
      <c r="N648" s="440">
        <f>F648+600</f>
        <v>23207.82</v>
      </c>
      <c r="O648" s="279">
        <f t="shared" ref="O648" si="1831">+N648*$X$1</f>
        <v>23207.82</v>
      </c>
      <c r="P648" s="440">
        <f>F648+500</f>
        <v>23107.82</v>
      </c>
      <c r="Q648" s="279">
        <f t="shared" ref="Q648" si="1832">+P648*$X$1</f>
        <v>23107.82</v>
      </c>
      <c r="R648" s="440">
        <f>F648+430</f>
        <v>23037.82</v>
      </c>
      <c r="S648" s="279">
        <f t="shared" ref="S648" si="1833">+R648*$X$1</f>
        <v>23037.82</v>
      </c>
      <c r="T648" s="440">
        <f>F648+370</f>
        <v>22977.82</v>
      </c>
      <c r="U648" s="279">
        <f t="shared" ref="U648" si="1834">+T648*$X$1</f>
        <v>22977.82</v>
      </c>
      <c r="V648" s="440">
        <f>F648+310</f>
        <v>22917.82</v>
      </c>
      <c r="W648" s="279">
        <f t="shared" ref="W648" si="1835">+V648*$X$1</f>
        <v>22917.82</v>
      </c>
      <c r="X648" s="431"/>
      <c r="Y648" s="133"/>
      <c r="Z648" s="131"/>
      <c r="AA648" s="134"/>
      <c r="AB648" s="404" t="s">
        <v>702</v>
      </c>
    </row>
    <row r="649" spans="1:38" ht="12.6" customHeight="1" x14ac:dyDescent="0.2">
      <c r="B649" s="746" t="s">
        <v>851</v>
      </c>
      <c r="C649" s="746"/>
      <c r="D649" s="746"/>
      <c r="E649" s="746"/>
      <c r="F649" s="435">
        <f>22.35*X2</f>
        <v>24540.300000000003</v>
      </c>
      <c r="G649" s="278">
        <f>+F649*$X$1</f>
        <v>24540.300000000003</v>
      </c>
      <c r="H649" s="100"/>
      <c r="I649" s="295"/>
      <c r="J649" s="100">
        <f>F649+1200</f>
        <v>25740.300000000003</v>
      </c>
      <c r="K649" s="295">
        <f t="shared" ref="K649:K651" si="1836">+J649*$X$1</f>
        <v>25740.300000000003</v>
      </c>
      <c r="L649" s="100">
        <f>F649+900</f>
        <v>25440.300000000003</v>
      </c>
      <c r="M649" s="295">
        <f t="shared" ref="M649:M651" si="1837">+L649*$X$1</f>
        <v>25440.300000000003</v>
      </c>
      <c r="N649" s="100">
        <f>F649+700</f>
        <v>25240.300000000003</v>
      </c>
      <c r="O649" s="295">
        <f t="shared" ref="O649:O651" si="1838">+N649*$X$1</f>
        <v>25240.300000000003</v>
      </c>
      <c r="P649" s="100">
        <f>F649+620</f>
        <v>25160.300000000003</v>
      </c>
      <c r="Q649" s="295">
        <f t="shared" ref="Q649:Q651" si="1839">+P649*$X$1</f>
        <v>25160.300000000003</v>
      </c>
      <c r="R649" s="100">
        <f>F649+550</f>
        <v>25090.300000000003</v>
      </c>
      <c r="S649" s="295">
        <f t="shared" ref="S649:S651" si="1840">+R649*$X$1</f>
        <v>25090.300000000003</v>
      </c>
      <c r="T649" s="100">
        <f>F649+480</f>
        <v>25020.300000000003</v>
      </c>
      <c r="U649" s="295">
        <f t="shared" ref="U649:U651" si="1841">+T649*$X$1</f>
        <v>25020.300000000003</v>
      </c>
      <c r="V649" s="100">
        <f>F649+420</f>
        <v>24960.300000000003</v>
      </c>
      <c r="W649" s="295">
        <f t="shared" ref="W649:W651" si="1842">+V649*$X$1</f>
        <v>24960.300000000003</v>
      </c>
      <c r="X649" s="493"/>
      <c r="Y649" s="133"/>
      <c r="Z649" s="131"/>
      <c r="AA649" s="134"/>
      <c r="AB649" s="404" t="s">
        <v>850</v>
      </c>
    </row>
    <row r="650" spans="1:38" ht="12.6" customHeight="1" x14ac:dyDescent="0.2">
      <c r="B650" s="711" t="s">
        <v>703</v>
      </c>
      <c r="C650" s="711"/>
      <c r="D650" s="711"/>
      <c r="E650" s="711"/>
      <c r="F650" s="436">
        <f>38.5*X2</f>
        <v>42273</v>
      </c>
      <c r="G650" s="279">
        <f>+F650*$X$1</f>
        <v>42273</v>
      </c>
      <c r="H650" s="440">
        <f>F650+4000</f>
        <v>46273</v>
      </c>
      <c r="I650" s="279">
        <f t="shared" ref="I650:I651" si="1843">+H650*$X$1</f>
        <v>46273</v>
      </c>
      <c r="J650" s="440">
        <f>F650+1000</f>
        <v>43273</v>
      </c>
      <c r="K650" s="279">
        <f t="shared" si="1836"/>
        <v>43273</v>
      </c>
      <c r="L650" s="440">
        <f>F650+700</f>
        <v>42973</v>
      </c>
      <c r="M650" s="279">
        <f t="shared" si="1837"/>
        <v>42973</v>
      </c>
      <c r="N650" s="440">
        <f>F650+600</f>
        <v>42873</v>
      </c>
      <c r="O650" s="279">
        <f t="shared" si="1838"/>
        <v>42873</v>
      </c>
      <c r="P650" s="440">
        <f>F650+500</f>
        <v>42773</v>
      </c>
      <c r="Q650" s="279">
        <f t="shared" si="1839"/>
        <v>42773</v>
      </c>
      <c r="R650" s="440">
        <f>F650+430</f>
        <v>42703</v>
      </c>
      <c r="S650" s="279">
        <f t="shared" si="1840"/>
        <v>42703</v>
      </c>
      <c r="T650" s="440">
        <f>F650+370</f>
        <v>42643</v>
      </c>
      <c r="U650" s="279">
        <f t="shared" si="1841"/>
        <v>42643</v>
      </c>
      <c r="V650" s="440">
        <f>F650+310</f>
        <v>42583</v>
      </c>
      <c r="W650" s="279">
        <f t="shared" si="1842"/>
        <v>42583</v>
      </c>
      <c r="X650" s="431"/>
      <c r="Y650" s="133"/>
      <c r="Z650" s="131"/>
      <c r="AA650" s="134"/>
      <c r="AB650" s="404" t="s">
        <v>704</v>
      </c>
    </row>
    <row r="651" spans="1:38" ht="12.6" customHeight="1" x14ac:dyDescent="0.2">
      <c r="B651" s="746" t="s">
        <v>844</v>
      </c>
      <c r="C651" s="746"/>
      <c r="D651" s="746"/>
      <c r="E651" s="746"/>
      <c r="F651" s="435">
        <f>30.6*X2</f>
        <v>33598.800000000003</v>
      </c>
      <c r="G651" s="278">
        <f>+F651*$X$1</f>
        <v>33598.800000000003</v>
      </c>
      <c r="H651" s="100">
        <f>F651+5000</f>
        <v>38598.800000000003</v>
      </c>
      <c r="I651" s="295">
        <f t="shared" si="1843"/>
        <v>38598.800000000003</v>
      </c>
      <c r="J651" s="100">
        <f>F651+2200</f>
        <v>35798.800000000003</v>
      </c>
      <c r="K651" s="295">
        <f t="shared" si="1836"/>
        <v>35798.800000000003</v>
      </c>
      <c r="L651" s="100">
        <f>F651+1900</f>
        <v>35498.800000000003</v>
      </c>
      <c r="M651" s="295">
        <f t="shared" si="1837"/>
        <v>35498.800000000003</v>
      </c>
      <c r="N651" s="100">
        <f>F651+1500</f>
        <v>35098.800000000003</v>
      </c>
      <c r="O651" s="295">
        <f t="shared" si="1838"/>
        <v>35098.800000000003</v>
      </c>
      <c r="P651" s="100">
        <f>F651+1350</f>
        <v>34948.800000000003</v>
      </c>
      <c r="Q651" s="295">
        <f t="shared" si="1839"/>
        <v>34948.800000000003</v>
      </c>
      <c r="R651" s="100">
        <f>F651+1250</f>
        <v>34848.800000000003</v>
      </c>
      <c r="S651" s="295">
        <f t="shared" si="1840"/>
        <v>34848.800000000003</v>
      </c>
      <c r="T651" s="100">
        <f>F651+1100</f>
        <v>34698.800000000003</v>
      </c>
      <c r="U651" s="295">
        <f t="shared" si="1841"/>
        <v>34698.800000000003</v>
      </c>
      <c r="V651" s="100">
        <f>F651+900</f>
        <v>34498.800000000003</v>
      </c>
      <c r="W651" s="295">
        <f t="shared" si="1842"/>
        <v>34498.800000000003</v>
      </c>
      <c r="X651" s="492"/>
      <c r="Y651" s="133"/>
      <c r="Z651" s="131"/>
      <c r="AA651" s="134"/>
      <c r="AB651" s="404" t="s">
        <v>867</v>
      </c>
    </row>
    <row r="652" spans="1:38" ht="12.6" customHeight="1" x14ac:dyDescent="0.2">
      <c r="B652" s="711" t="s">
        <v>296</v>
      </c>
      <c r="C652" s="711"/>
      <c r="D652" s="711"/>
      <c r="E652" s="711"/>
      <c r="F652" s="434"/>
      <c r="G652" s="440"/>
      <c r="H652" s="102"/>
      <c r="I652" s="102"/>
      <c r="J652" s="440"/>
      <c r="K652" s="440"/>
      <c r="L652" s="440"/>
      <c r="M652" s="440"/>
      <c r="N652" s="440"/>
      <c r="O652" s="440"/>
      <c r="P652" s="112"/>
      <c r="Q652" s="440"/>
      <c r="R652" s="112"/>
      <c r="S652" s="440"/>
      <c r="T652" s="112"/>
      <c r="U652" s="440"/>
      <c r="V652" s="271"/>
      <c r="W652" s="566"/>
      <c r="X652" s="159"/>
      <c r="Y652" s="159"/>
      <c r="Z652" s="159"/>
      <c r="AA652" s="160"/>
      <c r="AB652" s="404" t="s">
        <v>297</v>
      </c>
    </row>
    <row r="653" spans="1:38" ht="12.6" customHeight="1" x14ac:dyDescent="0.2">
      <c r="B653" s="746" t="s">
        <v>298</v>
      </c>
      <c r="C653" s="746"/>
      <c r="D653" s="746"/>
      <c r="E653" s="746"/>
      <c r="F653" s="113"/>
      <c r="G653" s="550"/>
      <c r="H653" s="98"/>
      <c r="I653" s="98"/>
      <c r="J653" s="607"/>
      <c r="K653" s="607"/>
      <c r="L653" s="607"/>
      <c r="M653" s="607"/>
      <c r="N653" s="607"/>
      <c r="O653" s="607"/>
      <c r="P653" s="111"/>
      <c r="Q653" s="607"/>
      <c r="R653" s="111"/>
      <c r="S653" s="607"/>
      <c r="T653" s="111"/>
      <c r="U653" s="607"/>
      <c r="V653" s="567"/>
      <c r="W653" s="568"/>
      <c r="X653" s="159"/>
      <c r="Y653" s="159"/>
      <c r="Z653" s="159"/>
      <c r="AA653" s="160"/>
      <c r="AB653" s="404" t="s">
        <v>299</v>
      </c>
    </row>
    <row r="654" spans="1:38" ht="12.6" customHeight="1" x14ac:dyDescent="0.2">
      <c r="B654" s="711" t="s">
        <v>300</v>
      </c>
      <c r="C654" s="711"/>
      <c r="D654" s="711"/>
      <c r="E654" s="711"/>
      <c r="F654" s="434"/>
      <c r="G654" s="440"/>
      <c r="H654" s="102"/>
      <c r="I654" s="102"/>
      <c r="J654" s="440"/>
      <c r="K654" s="440"/>
      <c r="L654" s="440"/>
      <c r="M654" s="440"/>
      <c r="N654" s="440"/>
      <c r="O654" s="440"/>
      <c r="P654" s="112"/>
      <c r="Q654" s="440"/>
      <c r="R654" s="112"/>
      <c r="S654" s="440"/>
      <c r="T654" s="112"/>
      <c r="U654" s="440"/>
      <c r="V654" s="271"/>
      <c r="W654" s="566"/>
      <c r="X654" s="133"/>
      <c r="Y654" s="133"/>
      <c r="Z654" s="133"/>
      <c r="AA654" s="133"/>
      <c r="AB654" s="404" t="s">
        <v>410</v>
      </c>
    </row>
    <row r="655" spans="1:38" ht="12.6" customHeight="1" x14ac:dyDescent="0.2">
      <c r="B655" s="746" t="s">
        <v>709</v>
      </c>
      <c r="C655" s="746"/>
      <c r="D655" s="746"/>
      <c r="E655" s="746"/>
      <c r="F655" s="435">
        <f>36*X2</f>
        <v>39528</v>
      </c>
      <c r="G655" s="278">
        <f t="shared" ref="G655:G657" si="1844">+F655*$X$1</f>
        <v>39528</v>
      </c>
      <c r="H655" s="100">
        <f>F655+5000</f>
        <v>44528</v>
      </c>
      <c r="I655" s="295">
        <f t="shared" ref="I655" si="1845">+H655*$X$1</f>
        <v>44528</v>
      </c>
      <c r="J655" s="100">
        <f>F655+1000</f>
        <v>40528</v>
      </c>
      <c r="K655" s="295">
        <f t="shared" ref="K655" si="1846">+J655*$X$1</f>
        <v>40528</v>
      </c>
      <c r="L655" s="100">
        <f t="shared" ref="L655" si="1847">F655+800</f>
        <v>40328</v>
      </c>
      <c r="M655" s="295">
        <f t="shared" ref="M655" si="1848">+L655*$X$1</f>
        <v>40328</v>
      </c>
      <c r="N655" s="100">
        <f t="shared" ref="N655" si="1849">F655+700</f>
        <v>40228</v>
      </c>
      <c r="O655" s="295">
        <f t="shared" ref="O655" si="1850">+N655*$X$1</f>
        <v>40228</v>
      </c>
      <c r="P655" s="100">
        <f t="shared" ref="P655" si="1851">F655+600</f>
        <v>40128</v>
      </c>
      <c r="Q655" s="295">
        <f t="shared" ref="Q655:Q663" si="1852">+P655*$X$1</f>
        <v>40128</v>
      </c>
      <c r="R655" s="100">
        <f t="shared" ref="R655" si="1853">F655+500</f>
        <v>40028</v>
      </c>
      <c r="S655" s="295">
        <f t="shared" ref="S655:S663" si="1854">+R655*$X$1</f>
        <v>40028</v>
      </c>
      <c r="T655" s="100">
        <f t="shared" ref="T655" si="1855">F655+450</f>
        <v>39978</v>
      </c>
      <c r="U655" s="295">
        <f t="shared" ref="U655:U663" si="1856">+T655*$X$1</f>
        <v>39978</v>
      </c>
      <c r="V655" s="100">
        <f t="shared" ref="V655" si="1857">F655+360</f>
        <v>39888</v>
      </c>
      <c r="W655" s="295">
        <f t="shared" ref="W655:W663" si="1858">+V655*$X$1</f>
        <v>39888</v>
      </c>
      <c r="X655" s="433"/>
      <c r="Y655" s="133"/>
      <c r="Z655" s="131"/>
      <c r="AA655" s="134"/>
      <c r="AB655" s="404" t="s">
        <v>710</v>
      </c>
    </row>
    <row r="656" spans="1:38" s="1" customFormat="1" ht="12.6" customHeight="1" x14ac:dyDescent="0.2">
      <c r="A656" s="19"/>
      <c r="B656" s="672" t="s">
        <v>199</v>
      </c>
      <c r="C656" s="673"/>
      <c r="D656" s="673"/>
      <c r="E656" s="673"/>
      <c r="F656" s="279">
        <v>4780</v>
      </c>
      <c r="G656" s="281">
        <f t="shared" si="1844"/>
        <v>4780</v>
      </c>
      <c r="H656" s="440"/>
      <c r="I656" s="279"/>
      <c r="J656" s="87"/>
      <c r="K656" s="279"/>
      <c r="L656" s="440"/>
      <c r="M656" s="279"/>
      <c r="N656" s="440"/>
      <c r="O656" s="279"/>
      <c r="P656" s="440">
        <f t="shared" ref="P656:P663" si="1859">F656+400</f>
        <v>5180</v>
      </c>
      <c r="Q656" s="279">
        <f t="shared" si="1852"/>
        <v>5180</v>
      </c>
      <c r="R656" s="440">
        <f t="shared" ref="R656:R663" si="1860">F656+330</f>
        <v>5110</v>
      </c>
      <c r="S656" s="279">
        <f t="shared" si="1854"/>
        <v>5110</v>
      </c>
      <c r="T656" s="440">
        <f t="shared" ref="T656:T663" si="1861">F656+280</f>
        <v>5060</v>
      </c>
      <c r="U656" s="279">
        <f t="shared" si="1856"/>
        <v>5060</v>
      </c>
      <c r="V656" s="440">
        <f t="shared" ref="V656:V663" si="1862">F656+220</f>
        <v>5000</v>
      </c>
      <c r="W656" s="279">
        <f t="shared" si="1858"/>
        <v>5000</v>
      </c>
      <c r="X656" s="684"/>
      <c r="Y656" s="777"/>
      <c r="Z656" s="777"/>
      <c r="AA656" s="686"/>
      <c r="AB656" s="189">
        <v>965</v>
      </c>
      <c r="AC656" s="4"/>
      <c r="AD656" s="4"/>
      <c r="AE656" s="4"/>
      <c r="AF656" s="4"/>
      <c r="AG656" s="4"/>
      <c r="AH656" s="4"/>
      <c r="AI656" s="4"/>
      <c r="AJ656" s="4"/>
      <c r="AK656" s="4"/>
      <c r="AL656" s="4"/>
    </row>
    <row r="657" spans="1:38" s="1" customFormat="1" ht="12.6" customHeight="1" x14ac:dyDescent="0.2">
      <c r="A657" s="19"/>
      <c r="B657" s="733" t="s">
        <v>200</v>
      </c>
      <c r="C657" s="734"/>
      <c r="D657" s="734"/>
      <c r="E657" s="735"/>
      <c r="F657" s="278">
        <v>7340</v>
      </c>
      <c r="G657" s="280">
        <f t="shared" si="1844"/>
        <v>7340</v>
      </c>
      <c r="H657" s="607"/>
      <c r="I657" s="278"/>
      <c r="J657" s="70"/>
      <c r="K657" s="278"/>
      <c r="L657" s="607"/>
      <c r="M657" s="278"/>
      <c r="N657" s="607"/>
      <c r="O657" s="278"/>
      <c r="P657" s="607">
        <f t="shared" si="1859"/>
        <v>7740</v>
      </c>
      <c r="Q657" s="278">
        <f t="shared" si="1852"/>
        <v>7740</v>
      </c>
      <c r="R657" s="607">
        <f t="shared" si="1860"/>
        <v>7670</v>
      </c>
      <c r="S657" s="278">
        <f t="shared" si="1854"/>
        <v>7670</v>
      </c>
      <c r="T657" s="607">
        <f t="shared" si="1861"/>
        <v>7620</v>
      </c>
      <c r="U657" s="278">
        <f t="shared" si="1856"/>
        <v>7620</v>
      </c>
      <c r="V657" s="607">
        <f t="shared" si="1862"/>
        <v>7560</v>
      </c>
      <c r="W657" s="278">
        <f t="shared" si="1858"/>
        <v>7560</v>
      </c>
      <c r="X657" s="150"/>
      <c r="Y657" s="151"/>
      <c r="Z657" s="151"/>
      <c r="AA657" s="152"/>
      <c r="AB657" s="397">
        <v>967</v>
      </c>
      <c r="AC657" s="4"/>
      <c r="AD657" s="4"/>
      <c r="AE657" s="4"/>
      <c r="AF657" s="4"/>
      <c r="AG657" s="4"/>
      <c r="AH657" s="4"/>
      <c r="AI657" s="4"/>
      <c r="AJ657" s="4"/>
      <c r="AK657" s="4"/>
      <c r="AL657" s="4"/>
    </row>
    <row r="658" spans="1:38" s="1" customFormat="1" ht="12.6" customHeight="1" x14ac:dyDescent="0.2">
      <c r="A658" s="19"/>
      <c r="B658" s="748" t="s">
        <v>345</v>
      </c>
      <c r="C658" s="772"/>
      <c r="D658" s="772"/>
      <c r="E658" s="773"/>
      <c r="F658" s="279">
        <v>4485</v>
      </c>
      <c r="G658" s="281">
        <f t="shared" ref="G658" si="1863">+F658*$X$1</f>
        <v>4485</v>
      </c>
      <c r="H658" s="440"/>
      <c r="I658" s="279"/>
      <c r="J658" s="87"/>
      <c r="K658" s="279"/>
      <c r="L658" s="440"/>
      <c r="M658" s="279"/>
      <c r="N658" s="440"/>
      <c r="O658" s="279"/>
      <c r="P658" s="440">
        <f t="shared" si="1859"/>
        <v>4885</v>
      </c>
      <c r="Q658" s="279">
        <f t="shared" si="1852"/>
        <v>4885</v>
      </c>
      <c r="R658" s="440">
        <f t="shared" si="1860"/>
        <v>4815</v>
      </c>
      <c r="S658" s="279">
        <f t="shared" si="1854"/>
        <v>4815</v>
      </c>
      <c r="T658" s="440">
        <f t="shared" si="1861"/>
        <v>4765</v>
      </c>
      <c r="U658" s="279">
        <f t="shared" si="1856"/>
        <v>4765</v>
      </c>
      <c r="V658" s="440">
        <f t="shared" si="1862"/>
        <v>4705</v>
      </c>
      <c r="W658" s="279">
        <f t="shared" si="1858"/>
        <v>4705</v>
      </c>
      <c r="X658" s="684"/>
      <c r="Y658" s="777"/>
      <c r="Z658" s="777"/>
      <c r="AA658" s="686"/>
      <c r="AB658" s="397">
        <v>968</v>
      </c>
      <c r="AC658" s="4"/>
      <c r="AD658" s="4"/>
      <c r="AE658" s="4"/>
      <c r="AF658" s="4"/>
      <c r="AG658" s="4"/>
      <c r="AH658" s="4"/>
      <c r="AI658" s="4"/>
      <c r="AJ658" s="4"/>
      <c r="AK658" s="4"/>
      <c r="AL658" s="4"/>
    </row>
    <row r="659" spans="1:38" s="1" customFormat="1" ht="12.6" customHeight="1" x14ac:dyDescent="0.2">
      <c r="A659" s="19"/>
      <c r="B659" s="690" t="s">
        <v>201</v>
      </c>
      <c r="C659" s="691"/>
      <c r="D659" s="691"/>
      <c r="E659" s="691"/>
      <c r="F659" s="278">
        <v>12106</v>
      </c>
      <c r="G659" s="280">
        <f t="shared" ref="G659" si="1864">+F659*$X$1</f>
        <v>12106</v>
      </c>
      <c r="H659" s="607"/>
      <c r="I659" s="278"/>
      <c r="J659" s="70"/>
      <c r="K659" s="278"/>
      <c r="L659" s="607"/>
      <c r="M659" s="278"/>
      <c r="N659" s="607"/>
      <c r="O659" s="278"/>
      <c r="P659" s="607">
        <f t="shared" si="1859"/>
        <v>12506</v>
      </c>
      <c r="Q659" s="278">
        <f t="shared" si="1852"/>
        <v>12506</v>
      </c>
      <c r="R659" s="607">
        <f t="shared" si="1860"/>
        <v>12436</v>
      </c>
      <c r="S659" s="278">
        <f t="shared" si="1854"/>
        <v>12436</v>
      </c>
      <c r="T659" s="607">
        <f t="shared" si="1861"/>
        <v>12386</v>
      </c>
      <c r="U659" s="278">
        <f t="shared" si="1856"/>
        <v>12386</v>
      </c>
      <c r="V659" s="607">
        <f t="shared" si="1862"/>
        <v>12326</v>
      </c>
      <c r="W659" s="278">
        <f t="shared" si="1858"/>
        <v>12326</v>
      </c>
      <c r="X659" s="684"/>
      <c r="Y659" s="777"/>
      <c r="Z659" s="777"/>
      <c r="AA659" s="686"/>
      <c r="AB659" s="397">
        <v>969</v>
      </c>
      <c r="AC659" s="4"/>
      <c r="AD659" s="4"/>
      <c r="AE659" s="4"/>
      <c r="AF659" s="4"/>
      <c r="AG659" s="4"/>
      <c r="AH659" s="4"/>
      <c r="AI659" s="4"/>
      <c r="AJ659" s="4"/>
      <c r="AK659" s="4"/>
      <c r="AL659" s="4"/>
    </row>
    <row r="660" spans="1:38" s="1" customFormat="1" ht="12.6" customHeight="1" x14ac:dyDescent="0.2">
      <c r="A660" s="19"/>
      <c r="B660" s="748" t="s">
        <v>362</v>
      </c>
      <c r="C660" s="772"/>
      <c r="D660" s="772"/>
      <c r="E660" s="773"/>
      <c r="F660" s="279">
        <v>11100</v>
      </c>
      <c r="G660" s="281">
        <f t="shared" ref="G660" si="1865">+F660*$X$1</f>
        <v>11100</v>
      </c>
      <c r="H660" s="440"/>
      <c r="I660" s="279"/>
      <c r="J660" s="87"/>
      <c r="K660" s="279"/>
      <c r="L660" s="440"/>
      <c r="M660" s="279"/>
      <c r="N660" s="440"/>
      <c r="O660" s="279"/>
      <c r="P660" s="440">
        <f t="shared" si="1859"/>
        <v>11500</v>
      </c>
      <c r="Q660" s="279">
        <f t="shared" si="1852"/>
        <v>11500</v>
      </c>
      <c r="R660" s="440">
        <f t="shared" si="1860"/>
        <v>11430</v>
      </c>
      <c r="S660" s="279">
        <f t="shared" si="1854"/>
        <v>11430</v>
      </c>
      <c r="T660" s="440">
        <f t="shared" si="1861"/>
        <v>11380</v>
      </c>
      <c r="U660" s="279">
        <f t="shared" si="1856"/>
        <v>11380</v>
      </c>
      <c r="V660" s="440">
        <f t="shared" si="1862"/>
        <v>11320</v>
      </c>
      <c r="W660" s="279">
        <f t="shared" si="1858"/>
        <v>11320</v>
      </c>
      <c r="X660" s="212"/>
      <c r="Y660" s="214"/>
      <c r="Z660" s="214"/>
      <c r="AA660" s="213"/>
      <c r="AB660" s="397" t="s">
        <v>437</v>
      </c>
      <c r="AC660" s="4"/>
      <c r="AD660" s="4"/>
      <c r="AE660" s="4"/>
      <c r="AF660" s="4"/>
      <c r="AG660" s="4"/>
      <c r="AH660" s="4"/>
      <c r="AI660" s="4"/>
      <c r="AJ660" s="4"/>
      <c r="AK660" s="4"/>
      <c r="AL660" s="4"/>
    </row>
    <row r="661" spans="1:38" s="1" customFormat="1" ht="12.6" customHeight="1" x14ac:dyDescent="0.2">
      <c r="A661" s="19"/>
      <c r="B661" s="690" t="s">
        <v>202</v>
      </c>
      <c r="C661" s="691"/>
      <c r="D661" s="691"/>
      <c r="E661" s="691"/>
      <c r="F661" s="278">
        <v>3090</v>
      </c>
      <c r="G661" s="280">
        <f t="shared" ref="G661" si="1866">+F661*$X$1</f>
        <v>3090</v>
      </c>
      <c r="H661" s="607"/>
      <c r="I661" s="278"/>
      <c r="J661" s="70"/>
      <c r="K661" s="278"/>
      <c r="L661" s="607"/>
      <c r="M661" s="278"/>
      <c r="N661" s="607"/>
      <c r="O661" s="278"/>
      <c r="P661" s="607">
        <f t="shared" si="1859"/>
        <v>3490</v>
      </c>
      <c r="Q661" s="278">
        <f t="shared" si="1852"/>
        <v>3490</v>
      </c>
      <c r="R661" s="607">
        <f t="shared" si="1860"/>
        <v>3420</v>
      </c>
      <c r="S661" s="278">
        <f t="shared" si="1854"/>
        <v>3420</v>
      </c>
      <c r="T661" s="607">
        <f t="shared" si="1861"/>
        <v>3370</v>
      </c>
      <c r="U661" s="278">
        <f t="shared" si="1856"/>
        <v>3370</v>
      </c>
      <c r="V661" s="607">
        <f t="shared" si="1862"/>
        <v>3310</v>
      </c>
      <c r="W661" s="278">
        <f t="shared" si="1858"/>
        <v>3310</v>
      </c>
      <c r="X661" s="684"/>
      <c r="Y661" s="777"/>
      <c r="Z661" s="777"/>
      <c r="AA661" s="686"/>
      <c r="AB661" s="397">
        <v>970</v>
      </c>
      <c r="AC661" s="4"/>
      <c r="AD661" s="4"/>
      <c r="AE661" s="4"/>
      <c r="AF661" s="4"/>
      <c r="AG661" s="4"/>
      <c r="AH661" s="4"/>
      <c r="AI661" s="4"/>
      <c r="AJ661" s="4"/>
      <c r="AK661" s="4"/>
      <c r="AL661" s="4"/>
    </row>
    <row r="662" spans="1:38" s="1" customFormat="1" ht="12.6" customHeight="1" x14ac:dyDescent="0.2">
      <c r="A662" s="19"/>
      <c r="B662" s="672" t="s">
        <v>203</v>
      </c>
      <c r="C662" s="673"/>
      <c r="D662" s="673"/>
      <c r="E662" s="673"/>
      <c r="F662" s="279">
        <v>3193</v>
      </c>
      <c r="G662" s="281">
        <f t="shared" ref="G662" si="1867">+F662*$X$1</f>
        <v>3193</v>
      </c>
      <c r="H662" s="440"/>
      <c r="I662" s="279"/>
      <c r="J662" s="87"/>
      <c r="K662" s="279"/>
      <c r="L662" s="440"/>
      <c r="M662" s="279"/>
      <c r="N662" s="440"/>
      <c r="O662" s="279"/>
      <c r="P662" s="440">
        <f t="shared" si="1859"/>
        <v>3593</v>
      </c>
      <c r="Q662" s="279">
        <f t="shared" si="1852"/>
        <v>3593</v>
      </c>
      <c r="R662" s="440">
        <f t="shared" si="1860"/>
        <v>3523</v>
      </c>
      <c r="S662" s="279">
        <f t="shared" si="1854"/>
        <v>3523</v>
      </c>
      <c r="T662" s="440">
        <f t="shared" si="1861"/>
        <v>3473</v>
      </c>
      <c r="U662" s="279">
        <f t="shared" si="1856"/>
        <v>3473</v>
      </c>
      <c r="V662" s="440">
        <f t="shared" si="1862"/>
        <v>3413</v>
      </c>
      <c r="W662" s="279">
        <f t="shared" si="1858"/>
        <v>3413</v>
      </c>
      <c r="X662" s="684"/>
      <c r="Y662" s="777"/>
      <c r="Z662" s="777"/>
      <c r="AA662" s="686"/>
      <c r="AB662" s="397">
        <v>971</v>
      </c>
      <c r="AC662" s="4"/>
      <c r="AD662" s="4"/>
      <c r="AE662" s="4"/>
      <c r="AF662" s="4"/>
      <c r="AG662" s="4"/>
      <c r="AH662" s="4"/>
      <c r="AI662" s="4"/>
      <c r="AJ662" s="4"/>
      <c r="AK662" s="4"/>
      <c r="AL662" s="4"/>
    </row>
    <row r="663" spans="1:38" s="1" customFormat="1" ht="12.6" customHeight="1" x14ac:dyDescent="0.2">
      <c r="A663" s="19"/>
      <c r="B663" s="733" t="s">
        <v>363</v>
      </c>
      <c r="C663" s="734"/>
      <c r="D663" s="734"/>
      <c r="E663" s="735"/>
      <c r="F663" s="278">
        <v>5394</v>
      </c>
      <c r="G663" s="280">
        <f t="shared" ref="G663" si="1868">+F663*$X$1</f>
        <v>5394</v>
      </c>
      <c r="H663" s="607"/>
      <c r="I663" s="278"/>
      <c r="J663" s="70"/>
      <c r="K663" s="278"/>
      <c r="L663" s="607"/>
      <c r="M663" s="278"/>
      <c r="N663" s="607"/>
      <c r="O663" s="278"/>
      <c r="P663" s="607">
        <f t="shared" si="1859"/>
        <v>5794</v>
      </c>
      <c r="Q663" s="278">
        <f t="shared" si="1852"/>
        <v>5794</v>
      </c>
      <c r="R663" s="607">
        <f t="shared" si="1860"/>
        <v>5724</v>
      </c>
      <c r="S663" s="278">
        <f t="shared" si="1854"/>
        <v>5724</v>
      </c>
      <c r="T663" s="607">
        <f t="shared" si="1861"/>
        <v>5674</v>
      </c>
      <c r="U663" s="278">
        <f t="shared" si="1856"/>
        <v>5674</v>
      </c>
      <c r="V663" s="607">
        <f t="shared" si="1862"/>
        <v>5614</v>
      </c>
      <c r="W663" s="278">
        <f t="shared" si="1858"/>
        <v>5614</v>
      </c>
      <c r="X663" s="150"/>
      <c r="Y663" s="151"/>
      <c r="Z663" s="151"/>
      <c r="AA663" s="152"/>
      <c r="AB663" s="397">
        <v>972</v>
      </c>
      <c r="AC663" s="4"/>
      <c r="AD663" s="4"/>
      <c r="AE663" s="4"/>
      <c r="AF663" s="4"/>
      <c r="AG663" s="4"/>
      <c r="AH663" s="4"/>
      <c r="AI663" s="4"/>
      <c r="AJ663" s="4"/>
      <c r="AK663" s="4"/>
      <c r="AL663" s="4"/>
    </row>
    <row r="664" spans="1:38" s="1" customFormat="1" ht="12.6" customHeight="1" x14ac:dyDescent="0.2">
      <c r="A664" s="19"/>
      <c r="B664" s="672" t="s">
        <v>204</v>
      </c>
      <c r="C664" s="673"/>
      <c r="D664" s="673"/>
      <c r="E664" s="673"/>
      <c r="F664" s="440"/>
      <c r="G664" s="440"/>
      <c r="H664" s="271"/>
      <c r="I664" s="271"/>
      <c r="J664" s="87"/>
      <c r="K664" s="440"/>
      <c r="L664" s="440"/>
      <c r="M664" s="440"/>
      <c r="N664" s="440"/>
      <c r="O664" s="440"/>
      <c r="P664" s="440"/>
      <c r="Q664" s="440"/>
      <c r="R664" s="440"/>
      <c r="S664" s="440"/>
      <c r="T664" s="440"/>
      <c r="U664" s="440"/>
      <c r="V664" s="440"/>
      <c r="W664" s="440"/>
      <c r="X664" s="668"/>
      <c r="Y664" s="1114"/>
      <c r="Z664" s="1114"/>
      <c r="AA664" s="938"/>
      <c r="AB664" s="189">
        <v>980</v>
      </c>
      <c r="AC664" s="4"/>
      <c r="AD664" s="4"/>
      <c r="AE664" s="4"/>
      <c r="AF664" s="4"/>
      <c r="AG664" s="4"/>
      <c r="AH664" s="4"/>
      <c r="AI664" s="4"/>
      <c r="AJ664" s="4"/>
      <c r="AK664" s="4"/>
      <c r="AL664" s="4"/>
    </row>
    <row r="665" spans="1:38" s="1" customFormat="1" ht="12.6" customHeight="1" x14ac:dyDescent="0.2">
      <c r="A665" s="19"/>
      <c r="B665" s="690" t="s">
        <v>205</v>
      </c>
      <c r="C665" s="763"/>
      <c r="D665" s="763"/>
      <c r="E665" s="763"/>
      <c r="F665" s="100"/>
      <c r="G665" s="578"/>
      <c r="H665" s="272"/>
      <c r="I665" s="272"/>
      <c r="J665" s="70"/>
      <c r="K665" s="578"/>
      <c r="L665" s="578"/>
      <c r="M665" s="578"/>
      <c r="N665" s="578"/>
      <c r="O665" s="578"/>
      <c r="P665" s="578"/>
      <c r="Q665" s="578"/>
      <c r="R665" s="578"/>
      <c r="S665" s="578"/>
      <c r="T665" s="578"/>
      <c r="U665" s="578"/>
      <c r="V665" s="578"/>
      <c r="W665" s="578"/>
      <c r="X665" s="668"/>
      <c r="Y665" s="1114"/>
      <c r="Z665" s="1114"/>
      <c r="AA665" s="938"/>
      <c r="AB665" s="189">
        <v>981</v>
      </c>
      <c r="AC665" s="4"/>
      <c r="AD665" s="4"/>
      <c r="AE665" s="4"/>
      <c r="AF665" s="4"/>
      <c r="AG665" s="4"/>
      <c r="AH665" s="4"/>
      <c r="AI665" s="4"/>
      <c r="AJ665" s="4"/>
      <c r="AK665" s="4"/>
      <c r="AL665" s="4"/>
    </row>
    <row r="666" spans="1:38" s="1" customFormat="1" ht="12.6" customHeight="1" x14ac:dyDescent="0.2">
      <c r="A666" s="19"/>
      <c r="B666" s="748" t="s">
        <v>453</v>
      </c>
      <c r="C666" s="983"/>
      <c r="D666" s="983"/>
      <c r="E666" s="984"/>
      <c r="F666" s="99"/>
      <c r="G666" s="440"/>
      <c r="H666" s="271"/>
      <c r="I666" s="271"/>
      <c r="J666" s="87"/>
      <c r="K666" s="440"/>
      <c r="L666" s="440"/>
      <c r="M666" s="440"/>
      <c r="N666" s="440"/>
      <c r="O666" s="440"/>
      <c r="P666" s="440"/>
      <c r="Q666" s="440"/>
      <c r="R666" s="440"/>
      <c r="S666" s="440"/>
      <c r="T666" s="440"/>
      <c r="U666" s="440"/>
      <c r="V666" s="440"/>
      <c r="W666" s="440"/>
      <c r="X666" s="668"/>
      <c r="Y666" s="1114"/>
      <c r="Z666" s="1114"/>
      <c r="AA666" s="938"/>
      <c r="AB666" s="189">
        <v>982</v>
      </c>
      <c r="AC666" s="4"/>
      <c r="AD666" s="4"/>
      <c r="AE666" s="4"/>
      <c r="AF666" s="4"/>
      <c r="AG666" s="4"/>
      <c r="AH666" s="4"/>
      <c r="AI666" s="4"/>
      <c r="AJ666" s="4"/>
      <c r="AK666" s="4"/>
      <c r="AL666" s="4"/>
    </row>
    <row r="667" spans="1:38" s="1" customFormat="1" ht="12.6" customHeight="1" x14ac:dyDescent="0.2">
      <c r="A667" s="19"/>
      <c r="B667" s="733" t="s">
        <v>486</v>
      </c>
      <c r="C667" s="948"/>
      <c r="D667" s="948"/>
      <c r="E667" s="949"/>
      <c r="F667" s="100"/>
      <c r="G667" s="578"/>
      <c r="H667" s="272"/>
      <c r="I667" s="272"/>
      <c r="J667" s="70"/>
      <c r="K667" s="578"/>
      <c r="L667" s="578"/>
      <c r="M667" s="578"/>
      <c r="N667" s="578"/>
      <c r="O667" s="578"/>
      <c r="P667" s="578"/>
      <c r="Q667" s="578"/>
      <c r="R667" s="578"/>
      <c r="S667" s="578"/>
      <c r="T667" s="578"/>
      <c r="U667" s="578"/>
      <c r="V667" s="578"/>
      <c r="W667" s="578"/>
      <c r="X667" s="668"/>
      <c r="Y667" s="1114"/>
      <c r="Z667" s="1114"/>
      <c r="AA667" s="938"/>
      <c r="AB667" s="189">
        <v>983</v>
      </c>
      <c r="AC667" s="4"/>
      <c r="AD667" s="4"/>
      <c r="AE667" s="4"/>
      <c r="AF667" s="4"/>
      <c r="AG667" s="4"/>
      <c r="AH667" s="4"/>
      <c r="AI667" s="4"/>
      <c r="AJ667" s="4"/>
      <c r="AK667" s="4"/>
      <c r="AL667" s="4"/>
    </row>
    <row r="668" spans="1:38" s="1" customFormat="1" ht="12.6" customHeight="1" x14ac:dyDescent="0.2">
      <c r="A668" s="19"/>
      <c r="B668" s="748" t="s">
        <v>206</v>
      </c>
      <c r="C668" s="983"/>
      <c r="D668" s="983"/>
      <c r="E668" s="984"/>
      <c r="F668" s="440"/>
      <c r="G668" s="440"/>
      <c r="H668" s="271"/>
      <c r="I668" s="271"/>
      <c r="J668" s="87"/>
      <c r="K668" s="440"/>
      <c r="L668" s="440"/>
      <c r="M668" s="440"/>
      <c r="N668" s="440"/>
      <c r="O668" s="440"/>
      <c r="P668" s="440"/>
      <c r="Q668" s="440"/>
      <c r="R668" s="440"/>
      <c r="S668" s="440"/>
      <c r="T668" s="440"/>
      <c r="U668" s="440"/>
      <c r="V668" s="440"/>
      <c r="W668" s="440"/>
      <c r="X668" s="668"/>
      <c r="Y668" s="1114"/>
      <c r="Z668" s="1114"/>
      <c r="AA668" s="938"/>
      <c r="AB668" s="189">
        <v>984</v>
      </c>
      <c r="AC668" s="4"/>
      <c r="AD668" s="4"/>
      <c r="AE668" s="4"/>
      <c r="AF668" s="4"/>
      <c r="AG668" s="4"/>
      <c r="AH668" s="4"/>
      <c r="AI668" s="4"/>
      <c r="AJ668" s="4"/>
      <c r="AK668" s="4"/>
      <c r="AL668" s="4"/>
    </row>
    <row r="669" spans="1:38" s="1" customFormat="1" ht="12.6" customHeight="1" x14ac:dyDescent="0.2">
      <c r="A669" s="19"/>
      <c r="B669" s="733" t="s">
        <v>207</v>
      </c>
      <c r="C669" s="948"/>
      <c r="D669" s="948"/>
      <c r="E669" s="949"/>
      <c r="F669" s="578"/>
      <c r="G669" s="578"/>
      <c r="H669" s="272"/>
      <c r="I669" s="272"/>
      <c r="J669" s="70"/>
      <c r="K669" s="578"/>
      <c r="L669" s="578"/>
      <c r="M669" s="578"/>
      <c r="N669" s="578"/>
      <c r="O669" s="578"/>
      <c r="P669" s="578"/>
      <c r="Q669" s="578"/>
      <c r="R669" s="578"/>
      <c r="S669" s="578"/>
      <c r="T669" s="578"/>
      <c r="U669" s="578"/>
      <c r="V669" s="578"/>
      <c r="W669" s="578"/>
      <c r="X669" s="668"/>
      <c r="Y669" s="1114"/>
      <c r="Z669" s="1114"/>
      <c r="AA669" s="938"/>
      <c r="AB669" s="189">
        <v>985</v>
      </c>
      <c r="AC669" s="4"/>
      <c r="AD669" s="4"/>
      <c r="AE669" s="4"/>
      <c r="AF669" s="4"/>
      <c r="AG669" s="4"/>
      <c r="AH669" s="4"/>
      <c r="AI669" s="4"/>
      <c r="AJ669" s="4"/>
      <c r="AK669" s="4"/>
      <c r="AL669" s="4"/>
    </row>
    <row r="670" spans="1:38" s="1" customFormat="1" ht="12.6" customHeight="1" x14ac:dyDescent="0.2">
      <c r="A670" s="19"/>
      <c r="B670" s="760" t="s">
        <v>930</v>
      </c>
      <c r="C670" s="761"/>
      <c r="D670" s="761"/>
      <c r="E670" s="762"/>
      <c r="F670" s="436">
        <f>21.75*X2</f>
        <v>23881.5</v>
      </c>
      <c r="G670" s="279">
        <f>+F670*$X$1</f>
        <v>23881.5</v>
      </c>
      <c r="H670" s="440">
        <f>F670+3000</f>
        <v>26881.5</v>
      </c>
      <c r="I670" s="279">
        <f t="shared" ref="I670" si="1869">+H670*$X$1</f>
        <v>26881.5</v>
      </c>
      <c r="J670" s="440">
        <f>F670+900</f>
        <v>24781.5</v>
      </c>
      <c r="K670" s="279">
        <f t="shared" ref="K670" si="1870">+J670*$X$1</f>
        <v>24781.5</v>
      </c>
      <c r="L670" s="440">
        <f>F670+700</f>
        <v>24581.5</v>
      </c>
      <c r="M670" s="279">
        <f t="shared" ref="M670" si="1871">+L670*$X$1</f>
        <v>24581.5</v>
      </c>
      <c r="N670" s="440">
        <f>F670+500</f>
        <v>24381.5</v>
      </c>
      <c r="O670" s="279">
        <f t="shared" ref="O670" si="1872">+N670*$X$1</f>
        <v>24381.5</v>
      </c>
      <c r="P670" s="440">
        <f>F670+400</f>
        <v>24281.5</v>
      </c>
      <c r="Q670" s="279">
        <f t="shared" ref="Q670" si="1873">+P670*$X$1</f>
        <v>24281.5</v>
      </c>
      <c r="R670" s="440">
        <f>F670+330</f>
        <v>24211.5</v>
      </c>
      <c r="S670" s="279">
        <f t="shared" ref="S670" si="1874">+R670*$X$1</f>
        <v>24211.5</v>
      </c>
      <c r="T670" s="440">
        <f>F670+280</f>
        <v>24161.5</v>
      </c>
      <c r="U670" s="279">
        <f t="shared" ref="U670" si="1875">+T670*$X$1</f>
        <v>24161.5</v>
      </c>
      <c r="V670" s="440">
        <f>F670+220</f>
        <v>24101.5</v>
      </c>
      <c r="W670" s="279">
        <f t="shared" ref="W670" si="1876">+V670*$X$1</f>
        <v>24101.5</v>
      </c>
      <c r="X670" s="684"/>
      <c r="Y670" s="685"/>
      <c r="Z670" s="685"/>
      <c r="AA670" s="686"/>
      <c r="AB670" s="189">
        <v>990</v>
      </c>
      <c r="AC670" s="4"/>
      <c r="AD670" s="4"/>
      <c r="AE670" s="4"/>
      <c r="AF670" s="4"/>
      <c r="AG670" s="4"/>
      <c r="AH670" s="125"/>
      <c r="AI670" s="4"/>
      <c r="AJ670" s="4"/>
      <c r="AK670" s="4"/>
      <c r="AL670" s="4"/>
    </row>
    <row r="671" spans="1:38" ht="12.6" customHeight="1" x14ac:dyDescent="0.2">
      <c r="B671" s="746" t="s">
        <v>706</v>
      </c>
      <c r="C671" s="746"/>
      <c r="D671" s="746"/>
      <c r="E671" s="746"/>
      <c r="F671" s="435">
        <f>23*X2</f>
        <v>25254</v>
      </c>
      <c r="G671" s="278">
        <f>+F671*$X$1</f>
        <v>25254</v>
      </c>
      <c r="H671" s="607">
        <f>F671+4500</f>
        <v>29754</v>
      </c>
      <c r="I671" s="278">
        <f t="shared" ref="I671:I672" si="1877">+H671*$X$1</f>
        <v>29754</v>
      </c>
      <c r="J671" s="607">
        <f>F671+1500</f>
        <v>26754</v>
      </c>
      <c r="K671" s="278">
        <f t="shared" ref="K671:K672" si="1878">+J671*$X$1</f>
        <v>26754</v>
      </c>
      <c r="L671" s="607">
        <f>F671+1200</f>
        <v>26454</v>
      </c>
      <c r="M671" s="278">
        <f t="shared" ref="M671:M672" si="1879">+L671*$X$1</f>
        <v>26454</v>
      </c>
      <c r="N671" s="607">
        <f>F671+900</f>
        <v>26154</v>
      </c>
      <c r="O671" s="278">
        <f t="shared" ref="O671:O672" si="1880">+N671*$X$1</f>
        <v>26154</v>
      </c>
      <c r="P671" s="607">
        <f>F671+750</f>
        <v>26004</v>
      </c>
      <c r="Q671" s="278">
        <f t="shared" ref="Q671:Q672" si="1881">+P671*$X$1</f>
        <v>26004</v>
      </c>
      <c r="R671" s="607">
        <f>F671+650</f>
        <v>25904</v>
      </c>
      <c r="S671" s="278">
        <f t="shared" ref="S671:S672" si="1882">+R671*$X$1</f>
        <v>25904</v>
      </c>
      <c r="T671" s="607">
        <f>F671+500</f>
        <v>25754</v>
      </c>
      <c r="U671" s="278">
        <f t="shared" ref="U671:U672" si="1883">+T671*$X$1</f>
        <v>25754</v>
      </c>
      <c r="V671" s="607">
        <f>F671+400</f>
        <v>25654</v>
      </c>
      <c r="W671" s="278">
        <f t="shared" ref="W671:W672" si="1884">+V671*$X$1</f>
        <v>25654</v>
      </c>
      <c r="X671" s="433"/>
      <c r="Y671" s="133"/>
      <c r="Z671" s="131"/>
      <c r="AA671" s="134"/>
      <c r="AB671" s="404" t="s">
        <v>705</v>
      </c>
    </row>
    <row r="672" spans="1:38" s="1" customFormat="1" ht="12.6" customHeight="1" x14ac:dyDescent="0.2">
      <c r="A672" s="19"/>
      <c r="B672" s="760" t="s">
        <v>905</v>
      </c>
      <c r="C672" s="761"/>
      <c r="D672" s="761"/>
      <c r="E672" s="762"/>
      <c r="F672" s="436">
        <f>18.44*X2</f>
        <v>20247.120000000003</v>
      </c>
      <c r="G672" s="279">
        <f>+F672*$X$1</f>
        <v>20247.120000000003</v>
      </c>
      <c r="H672" s="440">
        <f>F672+3000</f>
        <v>23247.120000000003</v>
      </c>
      <c r="I672" s="279">
        <f t="shared" si="1877"/>
        <v>23247.120000000003</v>
      </c>
      <c r="J672" s="440">
        <f>F672+900</f>
        <v>21147.120000000003</v>
      </c>
      <c r="K672" s="279">
        <f t="shared" si="1878"/>
        <v>21147.120000000003</v>
      </c>
      <c r="L672" s="440">
        <f>F672+700</f>
        <v>20947.120000000003</v>
      </c>
      <c r="M672" s="279">
        <f t="shared" si="1879"/>
        <v>20947.120000000003</v>
      </c>
      <c r="N672" s="440">
        <f>F672+500</f>
        <v>20747.120000000003</v>
      </c>
      <c r="O672" s="279">
        <f t="shared" si="1880"/>
        <v>20747.120000000003</v>
      </c>
      <c r="P672" s="440">
        <f>F672+400</f>
        <v>20647.120000000003</v>
      </c>
      <c r="Q672" s="279">
        <f t="shared" si="1881"/>
        <v>20647.120000000003</v>
      </c>
      <c r="R672" s="440">
        <f>F672+330</f>
        <v>20577.120000000003</v>
      </c>
      <c r="S672" s="279">
        <f t="shared" si="1882"/>
        <v>20577.120000000003</v>
      </c>
      <c r="T672" s="440">
        <f>F672+280</f>
        <v>20527.120000000003</v>
      </c>
      <c r="U672" s="279">
        <f t="shared" si="1883"/>
        <v>20527.120000000003</v>
      </c>
      <c r="V672" s="440">
        <f>F672+220</f>
        <v>20467.120000000003</v>
      </c>
      <c r="W672" s="279">
        <f t="shared" si="1884"/>
        <v>20467.120000000003</v>
      </c>
      <c r="X672" s="684"/>
      <c r="Y672" s="685"/>
      <c r="Z672" s="685"/>
      <c r="AA672" s="686"/>
      <c r="AB672" s="189">
        <v>993</v>
      </c>
      <c r="AC672" s="4"/>
      <c r="AD672" s="4"/>
      <c r="AE672" s="4"/>
      <c r="AF672" s="4"/>
      <c r="AG672" s="4"/>
      <c r="AH672" s="125"/>
      <c r="AI672" s="4"/>
      <c r="AJ672" s="4"/>
      <c r="AK672" s="4"/>
      <c r="AL672" s="4"/>
    </row>
    <row r="673" spans="1:38" ht="12.6" customHeight="1" x14ac:dyDescent="0.2">
      <c r="B673" s="746" t="s">
        <v>852</v>
      </c>
      <c r="C673" s="746"/>
      <c r="D673" s="746"/>
      <c r="E673" s="746"/>
      <c r="F673" s="435">
        <f>19.1*X2</f>
        <v>20971.800000000003</v>
      </c>
      <c r="G673" s="278">
        <f t="shared" ref="G673" si="1885">+F673*$X$1</f>
        <v>20971.800000000003</v>
      </c>
      <c r="H673" s="607">
        <f>F673+4000</f>
        <v>24971.800000000003</v>
      </c>
      <c r="I673" s="278">
        <f t="shared" ref="I673:I674" si="1886">+H673*$X$1</f>
        <v>24971.800000000003</v>
      </c>
      <c r="J673" s="607">
        <f>F673+1200</f>
        <v>22171.800000000003</v>
      </c>
      <c r="K673" s="278">
        <f t="shared" ref="K673:K674" si="1887">+J673*$X$1</f>
        <v>22171.800000000003</v>
      </c>
      <c r="L673" s="607">
        <f>F673+900</f>
        <v>21871.800000000003</v>
      </c>
      <c r="M673" s="278">
        <f t="shared" ref="M673:M675" si="1888">+L673*$X$1</f>
        <v>21871.800000000003</v>
      </c>
      <c r="N673" s="607">
        <f>F673+700</f>
        <v>21671.800000000003</v>
      </c>
      <c r="O673" s="278">
        <f t="shared" ref="O673:O675" si="1889">+N673*$X$1</f>
        <v>21671.800000000003</v>
      </c>
      <c r="P673" s="607">
        <f>F673+580</f>
        <v>21551.800000000003</v>
      </c>
      <c r="Q673" s="278">
        <f t="shared" ref="Q673:Q675" si="1890">+P673*$X$1</f>
        <v>21551.800000000003</v>
      </c>
      <c r="R673" s="607">
        <f>F673+490</f>
        <v>21461.800000000003</v>
      </c>
      <c r="S673" s="278">
        <f t="shared" ref="S673:S679" si="1891">+R673*$X$1</f>
        <v>21461.800000000003</v>
      </c>
      <c r="T673" s="607">
        <f>F673+390</f>
        <v>21361.800000000003</v>
      </c>
      <c r="U673" s="278">
        <f t="shared" ref="U673:U679" si="1892">+T673*$X$1</f>
        <v>21361.800000000003</v>
      </c>
      <c r="V673" s="607">
        <f>F673+300</f>
        <v>21271.800000000003</v>
      </c>
      <c r="W673" s="278">
        <f t="shared" ref="W673:W679" si="1893">+V673*$X$1</f>
        <v>21271.800000000003</v>
      </c>
      <c r="X673" s="493"/>
      <c r="Y673" s="133"/>
      <c r="Z673" s="131"/>
      <c r="AA673" s="134"/>
      <c r="AB673" s="404" t="s">
        <v>853</v>
      </c>
    </row>
    <row r="674" spans="1:38" ht="12.6" customHeight="1" x14ac:dyDescent="0.2">
      <c r="B674" s="711" t="s">
        <v>707</v>
      </c>
      <c r="C674" s="711"/>
      <c r="D674" s="711"/>
      <c r="E674" s="711"/>
      <c r="F674" s="436">
        <f>36.297*X2</f>
        <v>39854.106</v>
      </c>
      <c r="G674" s="279">
        <f t="shared" ref="G674:G688" si="1894">+F674*$X$1</f>
        <v>39854.106</v>
      </c>
      <c r="H674" s="440">
        <f>F674+4500</f>
        <v>44354.106</v>
      </c>
      <c r="I674" s="279">
        <f t="shared" si="1886"/>
        <v>44354.106</v>
      </c>
      <c r="J674" s="440">
        <f>F674+1500</f>
        <v>41354.106</v>
      </c>
      <c r="K674" s="279">
        <f t="shared" si="1887"/>
        <v>41354.106</v>
      </c>
      <c r="L674" s="440">
        <f>F674+1200</f>
        <v>41054.106</v>
      </c>
      <c r="M674" s="279">
        <f t="shared" si="1888"/>
        <v>41054.106</v>
      </c>
      <c r="N674" s="440">
        <f>F674+900</f>
        <v>40754.106</v>
      </c>
      <c r="O674" s="279">
        <f t="shared" si="1889"/>
        <v>40754.106</v>
      </c>
      <c r="P674" s="440">
        <f>F674+750</f>
        <v>40604.106</v>
      </c>
      <c r="Q674" s="279">
        <f t="shared" si="1890"/>
        <v>40604.106</v>
      </c>
      <c r="R674" s="440">
        <f>F674+650</f>
        <v>40504.106</v>
      </c>
      <c r="S674" s="279">
        <f t="shared" si="1891"/>
        <v>40504.106</v>
      </c>
      <c r="T674" s="440">
        <f>F674+500</f>
        <v>40354.106</v>
      </c>
      <c r="U674" s="279">
        <f t="shared" si="1892"/>
        <v>40354.106</v>
      </c>
      <c r="V674" s="440">
        <f>F674+400</f>
        <v>40254.106</v>
      </c>
      <c r="W674" s="279">
        <f t="shared" si="1893"/>
        <v>40254.106</v>
      </c>
      <c r="X674" s="433"/>
      <c r="Y674" s="133"/>
      <c r="Z674" s="131"/>
      <c r="AA674" s="134"/>
      <c r="AB674" s="404" t="s">
        <v>708</v>
      </c>
    </row>
    <row r="675" spans="1:38" s="1" customFormat="1" ht="12.6" customHeight="1" x14ac:dyDescent="0.2">
      <c r="A675" s="19"/>
      <c r="B675" s="733" t="s">
        <v>208</v>
      </c>
      <c r="C675" s="784"/>
      <c r="D675" s="784"/>
      <c r="E675" s="785"/>
      <c r="F675" s="278">
        <v>1400</v>
      </c>
      <c r="G675" s="295">
        <f t="shared" ref="G675" si="1895">+F675*$X$1</f>
        <v>1400</v>
      </c>
      <c r="H675" s="607"/>
      <c r="I675" s="278"/>
      <c r="J675" s="607"/>
      <c r="K675" s="278"/>
      <c r="L675" s="607">
        <f>F675+700</f>
        <v>2100</v>
      </c>
      <c r="M675" s="278">
        <f t="shared" si="1888"/>
        <v>2100</v>
      </c>
      <c r="N675" s="607">
        <f>F675+500</f>
        <v>1900</v>
      </c>
      <c r="O675" s="278">
        <f t="shared" si="1889"/>
        <v>1900</v>
      </c>
      <c r="P675" s="607">
        <f>F675+400</f>
        <v>1800</v>
      </c>
      <c r="Q675" s="278">
        <f t="shared" si="1890"/>
        <v>1800</v>
      </c>
      <c r="R675" s="607">
        <f>F675+330</f>
        <v>1730</v>
      </c>
      <c r="S675" s="278">
        <f t="shared" si="1891"/>
        <v>1730</v>
      </c>
      <c r="T675" s="607">
        <f>F675+280</f>
        <v>1680</v>
      </c>
      <c r="U675" s="278">
        <f t="shared" si="1892"/>
        <v>1680</v>
      </c>
      <c r="V675" s="607">
        <f>F675+220</f>
        <v>1620</v>
      </c>
      <c r="W675" s="278">
        <f t="shared" si="1893"/>
        <v>1620</v>
      </c>
      <c r="X675" s="684"/>
      <c r="Y675" s="685"/>
      <c r="Z675" s="685"/>
      <c r="AA675" s="686"/>
      <c r="AB675" s="189">
        <v>1001</v>
      </c>
      <c r="AC675" s="4"/>
      <c r="AD675" s="4"/>
      <c r="AE675" s="4"/>
      <c r="AF675" s="4"/>
      <c r="AG675" s="4"/>
      <c r="AH675" s="4"/>
      <c r="AI675" s="4"/>
      <c r="AJ675" s="4"/>
      <c r="AK675" s="4"/>
      <c r="AL675" s="4"/>
    </row>
    <row r="676" spans="1:38" s="1" customFormat="1" ht="12.6" customHeight="1" x14ac:dyDescent="0.2">
      <c r="A676" s="19"/>
      <c r="B676" s="748" t="s">
        <v>209</v>
      </c>
      <c r="C676" s="950"/>
      <c r="D676" s="950"/>
      <c r="E676" s="951"/>
      <c r="F676" s="308">
        <v>1400</v>
      </c>
      <c r="G676" s="279">
        <f>+F676*$X$1</f>
        <v>1400</v>
      </c>
      <c r="H676" s="630"/>
      <c r="I676" s="611"/>
      <c r="J676" s="611"/>
      <c r="K676" s="611"/>
      <c r="L676" s="440"/>
      <c r="M676" s="279"/>
      <c r="N676" s="440"/>
      <c r="O676" s="279"/>
      <c r="P676" s="440"/>
      <c r="Q676" s="279"/>
      <c r="R676" s="440">
        <f>F676+330</f>
        <v>1730</v>
      </c>
      <c r="S676" s="279">
        <f t="shared" si="1891"/>
        <v>1730</v>
      </c>
      <c r="T676" s="440">
        <f>F676+280</f>
        <v>1680</v>
      </c>
      <c r="U676" s="279">
        <f t="shared" si="1892"/>
        <v>1680</v>
      </c>
      <c r="V676" s="440">
        <f>F676+220</f>
        <v>1620</v>
      </c>
      <c r="W676" s="279">
        <f t="shared" si="1893"/>
        <v>1620</v>
      </c>
      <c r="X676" s="684"/>
      <c r="Y676" s="685"/>
      <c r="Z676" s="685"/>
      <c r="AA676" s="686"/>
      <c r="AB676" s="189">
        <v>1002</v>
      </c>
      <c r="AC676" s="4"/>
      <c r="AD676" s="4"/>
      <c r="AE676" s="4"/>
      <c r="AF676" s="4"/>
      <c r="AG676" s="4"/>
      <c r="AH676" s="4"/>
      <c r="AI676" s="4"/>
      <c r="AJ676" s="4"/>
      <c r="AK676" s="4"/>
      <c r="AL676" s="4"/>
    </row>
    <row r="677" spans="1:38" s="1" customFormat="1" ht="12.6" customHeight="1" x14ac:dyDescent="0.2">
      <c r="A677" s="19"/>
      <c r="B677" s="733" t="s">
        <v>615</v>
      </c>
      <c r="C677" s="784"/>
      <c r="D677" s="784"/>
      <c r="E677" s="785"/>
      <c r="F677" s="278">
        <v>1400</v>
      </c>
      <c r="G677" s="278">
        <f>+F677*$X$1</f>
        <v>1400</v>
      </c>
      <c r="H677" s="631"/>
      <c r="I677" s="606"/>
      <c r="J677" s="606"/>
      <c r="K677" s="606"/>
      <c r="L677" s="607"/>
      <c r="M677" s="278"/>
      <c r="N677" s="607"/>
      <c r="O677" s="278"/>
      <c r="P677" s="607"/>
      <c r="Q677" s="278"/>
      <c r="R677" s="607">
        <f>F677+330</f>
        <v>1730</v>
      </c>
      <c r="S677" s="278">
        <f t="shared" si="1891"/>
        <v>1730</v>
      </c>
      <c r="T677" s="607">
        <f>F677+280</f>
        <v>1680</v>
      </c>
      <c r="U677" s="278">
        <f t="shared" si="1892"/>
        <v>1680</v>
      </c>
      <c r="V677" s="607">
        <f>F677+220</f>
        <v>1620</v>
      </c>
      <c r="W677" s="278">
        <f t="shared" si="1893"/>
        <v>1620</v>
      </c>
      <c r="X677" s="684"/>
      <c r="Y677" s="685"/>
      <c r="Z677" s="685"/>
      <c r="AA677" s="686"/>
      <c r="AB677" s="189"/>
      <c r="AC677" s="4"/>
      <c r="AD677" s="4"/>
      <c r="AE677" s="4"/>
      <c r="AF677" s="4"/>
      <c r="AG677" s="4"/>
      <c r="AH677" s="4"/>
      <c r="AI677" s="4"/>
      <c r="AJ677" s="4"/>
      <c r="AK677" s="4"/>
      <c r="AL677" s="4"/>
    </row>
    <row r="678" spans="1:38" s="1" customFormat="1" ht="12.6" customHeight="1" x14ac:dyDescent="0.2">
      <c r="A678" s="19"/>
      <c r="B678" s="672" t="s">
        <v>669</v>
      </c>
      <c r="C678" s="673"/>
      <c r="D678" s="673"/>
      <c r="E678" s="673"/>
      <c r="F678" s="279">
        <v>1650</v>
      </c>
      <c r="G678" s="279">
        <f>+F678*$X$1</f>
        <v>1650</v>
      </c>
      <c r="H678" s="630"/>
      <c r="I678" s="611"/>
      <c r="J678" s="611"/>
      <c r="K678" s="611"/>
      <c r="L678" s="440"/>
      <c r="M678" s="279"/>
      <c r="N678" s="440"/>
      <c r="O678" s="279"/>
      <c r="P678" s="440"/>
      <c r="Q678" s="279"/>
      <c r="R678" s="440">
        <f>F678+330</f>
        <v>1980</v>
      </c>
      <c r="S678" s="279">
        <f t="shared" si="1891"/>
        <v>1980</v>
      </c>
      <c r="T678" s="440">
        <f>F678+280</f>
        <v>1930</v>
      </c>
      <c r="U678" s="279">
        <f t="shared" si="1892"/>
        <v>1930</v>
      </c>
      <c r="V678" s="440">
        <f>F678+220</f>
        <v>1870</v>
      </c>
      <c r="W678" s="279">
        <f t="shared" si="1893"/>
        <v>1870</v>
      </c>
      <c r="X678" s="684"/>
      <c r="Y678" s="777"/>
      <c r="Z678" s="777"/>
      <c r="AA678" s="686"/>
      <c r="AB678" s="189">
        <v>1004</v>
      </c>
      <c r="AC678" s="4"/>
      <c r="AD678" s="4"/>
      <c r="AE678" s="4"/>
      <c r="AF678" s="4"/>
      <c r="AG678" s="4"/>
      <c r="AH678" s="4"/>
      <c r="AI678" s="4"/>
      <c r="AJ678" s="4"/>
      <c r="AK678" s="4"/>
      <c r="AL678" s="4"/>
    </row>
    <row r="679" spans="1:38" s="1" customFormat="1" ht="12.6" customHeight="1" x14ac:dyDescent="0.2">
      <c r="A679" s="19"/>
      <c r="B679" s="733" t="s">
        <v>668</v>
      </c>
      <c r="C679" s="784"/>
      <c r="D679" s="784"/>
      <c r="E679" s="785"/>
      <c r="F679" s="278">
        <v>1650</v>
      </c>
      <c r="G679" s="278">
        <f>+F679*$X$1</f>
        <v>1650</v>
      </c>
      <c r="H679" s="631"/>
      <c r="I679" s="606"/>
      <c r="J679" s="606"/>
      <c r="K679" s="606"/>
      <c r="L679" s="607"/>
      <c r="M679" s="278"/>
      <c r="N679" s="607"/>
      <c r="O679" s="278"/>
      <c r="P679" s="607"/>
      <c r="Q679" s="278"/>
      <c r="R679" s="607">
        <f>F679+330</f>
        <v>1980</v>
      </c>
      <c r="S679" s="278">
        <f t="shared" si="1891"/>
        <v>1980</v>
      </c>
      <c r="T679" s="607">
        <f>F679+280</f>
        <v>1930</v>
      </c>
      <c r="U679" s="278">
        <f t="shared" si="1892"/>
        <v>1930</v>
      </c>
      <c r="V679" s="607">
        <f>F679+220</f>
        <v>1870</v>
      </c>
      <c r="W679" s="278">
        <f t="shared" si="1893"/>
        <v>1870</v>
      </c>
      <c r="X679" s="684"/>
      <c r="Y679" s="685"/>
      <c r="Z679" s="685"/>
      <c r="AA679" s="686"/>
      <c r="AB679" s="189">
        <v>1005</v>
      </c>
      <c r="AC679" s="4"/>
      <c r="AD679" s="4"/>
      <c r="AE679" s="4"/>
      <c r="AF679" s="4"/>
      <c r="AG679" s="4"/>
      <c r="AH679" s="125"/>
      <c r="AI679" s="4"/>
      <c r="AJ679" s="4"/>
      <c r="AK679" s="4"/>
      <c r="AL679" s="4"/>
    </row>
    <row r="680" spans="1:38" s="1" customFormat="1" ht="12.6" customHeight="1" x14ac:dyDescent="0.2">
      <c r="A680" s="19"/>
      <c r="B680" s="748" t="s">
        <v>210</v>
      </c>
      <c r="C680" s="772"/>
      <c r="D680" s="772"/>
      <c r="E680" s="773"/>
      <c r="F680" s="279"/>
      <c r="G680" s="279"/>
      <c r="H680" s="632"/>
      <c r="I680" s="611"/>
      <c r="J680" s="611"/>
      <c r="K680" s="611"/>
      <c r="L680" s="611"/>
      <c r="M680" s="611"/>
      <c r="N680" s="440"/>
      <c r="O680" s="279"/>
      <c r="P680" s="440"/>
      <c r="Q680" s="279"/>
      <c r="R680" s="440"/>
      <c r="S680" s="279"/>
      <c r="T680" s="440"/>
      <c r="U680" s="279"/>
      <c r="V680" s="440"/>
      <c r="W680" s="279"/>
      <c r="X680" s="684"/>
      <c r="Y680" s="685"/>
      <c r="Z680" s="685"/>
      <c r="AA680" s="686"/>
      <c r="AB680" s="189">
        <v>1006</v>
      </c>
      <c r="AC680" s="4"/>
      <c r="AD680" s="4"/>
      <c r="AE680" s="4"/>
      <c r="AF680" s="4"/>
      <c r="AG680" s="4"/>
      <c r="AH680" s="125"/>
      <c r="AI680" s="4"/>
      <c r="AJ680" s="4"/>
      <c r="AK680" s="4"/>
      <c r="AL680" s="4"/>
    </row>
    <row r="681" spans="1:38" s="1" customFormat="1" ht="12.6" customHeight="1" x14ac:dyDescent="0.2">
      <c r="A681" s="19"/>
      <c r="B681" s="733" t="s">
        <v>537</v>
      </c>
      <c r="C681" s="734"/>
      <c r="D681" s="734"/>
      <c r="E681" s="735"/>
      <c r="F681" s="280">
        <v>9116</v>
      </c>
      <c r="G681" s="280">
        <f t="shared" si="1894"/>
        <v>9116</v>
      </c>
      <c r="H681" s="607">
        <f>F681+3000</f>
        <v>12116</v>
      </c>
      <c r="I681" s="278">
        <f t="shared" ref="I681:I682" si="1896">+H681*$X$1</f>
        <v>12116</v>
      </c>
      <c r="J681" s="607">
        <f>F681+900</f>
        <v>10016</v>
      </c>
      <c r="K681" s="278">
        <f t="shared" ref="K681:K682" si="1897">+J681*$X$1</f>
        <v>10016</v>
      </c>
      <c r="L681" s="607">
        <f>F681+700</f>
        <v>9816</v>
      </c>
      <c r="M681" s="278">
        <f t="shared" ref="M681:M682" si="1898">+L681*$X$1</f>
        <v>9816</v>
      </c>
      <c r="N681" s="607">
        <f>F681+500</f>
        <v>9616</v>
      </c>
      <c r="O681" s="278">
        <f t="shared" ref="O681:O682" si="1899">+N681*$X$1</f>
        <v>9616</v>
      </c>
      <c r="P681" s="607">
        <f>F681+400</f>
        <v>9516</v>
      </c>
      <c r="Q681" s="278">
        <f t="shared" ref="Q681:Q682" si="1900">+P681*$X$1</f>
        <v>9516</v>
      </c>
      <c r="R681" s="607">
        <f>F681+330</f>
        <v>9446</v>
      </c>
      <c r="S681" s="278">
        <f t="shared" ref="S681:S682" si="1901">+R681*$X$1</f>
        <v>9446</v>
      </c>
      <c r="T681" s="607">
        <f>F681+280</f>
        <v>9396</v>
      </c>
      <c r="U681" s="278">
        <f t="shared" ref="U681:U682" si="1902">+T681*$X$1</f>
        <v>9396</v>
      </c>
      <c r="V681" s="607">
        <f>F681+220</f>
        <v>9336</v>
      </c>
      <c r="W681" s="278">
        <f t="shared" ref="W681:W682" si="1903">+V681*$X$1</f>
        <v>9336</v>
      </c>
      <c r="X681" s="684"/>
      <c r="Y681" s="685"/>
      <c r="Z681" s="685"/>
      <c r="AA681" s="686"/>
      <c r="AB681" s="189">
        <v>1010</v>
      </c>
      <c r="AC681" s="4"/>
      <c r="AD681" s="4"/>
      <c r="AE681" s="4"/>
      <c r="AF681" s="4"/>
      <c r="AG681" s="4"/>
      <c r="AH681" s="125"/>
      <c r="AI681" s="4"/>
      <c r="AJ681" s="4"/>
      <c r="AK681" s="4"/>
      <c r="AL681" s="4"/>
    </row>
    <row r="682" spans="1:38" s="1" customFormat="1" ht="12.6" customHeight="1" x14ac:dyDescent="0.2">
      <c r="A682" s="19"/>
      <c r="B682" s="748" t="s">
        <v>538</v>
      </c>
      <c r="C682" s="772"/>
      <c r="D682" s="772"/>
      <c r="E682" s="773"/>
      <c r="F682" s="279">
        <v>20824</v>
      </c>
      <c r="G682" s="279">
        <f t="shared" si="1894"/>
        <v>20824</v>
      </c>
      <c r="H682" s="440">
        <f>F682+3000</f>
        <v>23824</v>
      </c>
      <c r="I682" s="279">
        <f t="shared" si="1896"/>
        <v>23824</v>
      </c>
      <c r="J682" s="440">
        <f>F682+900</f>
        <v>21724</v>
      </c>
      <c r="K682" s="279">
        <f t="shared" si="1897"/>
        <v>21724</v>
      </c>
      <c r="L682" s="440">
        <f>F682+700</f>
        <v>21524</v>
      </c>
      <c r="M682" s="279">
        <f t="shared" si="1898"/>
        <v>21524</v>
      </c>
      <c r="N682" s="440">
        <f>F682+500</f>
        <v>21324</v>
      </c>
      <c r="O682" s="279">
        <f t="shared" si="1899"/>
        <v>21324</v>
      </c>
      <c r="P682" s="440">
        <f>F682+400</f>
        <v>21224</v>
      </c>
      <c r="Q682" s="279">
        <f t="shared" si="1900"/>
        <v>21224</v>
      </c>
      <c r="R682" s="440">
        <f>F682+330</f>
        <v>21154</v>
      </c>
      <c r="S682" s="279">
        <f t="shared" si="1901"/>
        <v>21154</v>
      </c>
      <c r="T682" s="440">
        <f>F682+280</f>
        <v>21104</v>
      </c>
      <c r="U682" s="279">
        <f t="shared" si="1902"/>
        <v>21104</v>
      </c>
      <c r="V682" s="440">
        <f>F682+220</f>
        <v>21044</v>
      </c>
      <c r="W682" s="279">
        <f t="shared" si="1903"/>
        <v>21044</v>
      </c>
      <c r="X682" s="684"/>
      <c r="Y682" s="685"/>
      <c r="Z682" s="685"/>
      <c r="AA682" s="686"/>
      <c r="AB682" s="189">
        <v>1011</v>
      </c>
      <c r="AC682" s="4"/>
      <c r="AD682" s="4"/>
      <c r="AE682" s="4"/>
      <c r="AF682" s="4"/>
      <c r="AG682" s="4"/>
      <c r="AH682" s="125"/>
      <c r="AI682" s="4"/>
      <c r="AJ682" s="4"/>
      <c r="AK682" s="4"/>
      <c r="AL682" s="4"/>
    </row>
    <row r="683" spans="1:38" s="1" customFormat="1" ht="12.6" customHeight="1" x14ac:dyDescent="0.2">
      <c r="A683" s="19"/>
      <c r="B683" s="760" t="s">
        <v>931</v>
      </c>
      <c r="C683" s="761"/>
      <c r="D683" s="761"/>
      <c r="E683" s="762"/>
      <c r="F683" s="435">
        <f>9.45*X2</f>
        <v>10376.099999999999</v>
      </c>
      <c r="G683" s="278">
        <f>+F683*$X$1</f>
        <v>10376.099999999999</v>
      </c>
      <c r="H683" s="607"/>
      <c r="I683" s="278"/>
      <c r="J683" s="607">
        <f>F683+2000</f>
        <v>12376.099999999999</v>
      </c>
      <c r="K683" s="278">
        <f t="shared" ref="K683" si="1904">+J683*$X$1</f>
        <v>12376.099999999999</v>
      </c>
      <c r="L683" s="607">
        <f>F683+1500</f>
        <v>11876.099999999999</v>
      </c>
      <c r="M683" s="278">
        <f t="shared" ref="M683:M685" si="1905">+L683*$X$1</f>
        <v>11876.099999999999</v>
      </c>
      <c r="N683" s="607">
        <f>F683+1200</f>
        <v>11576.099999999999</v>
      </c>
      <c r="O683" s="278">
        <f t="shared" ref="O683:O685" si="1906">+N683*$X$1</f>
        <v>11576.099999999999</v>
      </c>
      <c r="P683" s="607">
        <f>F683+1050</f>
        <v>11426.099999999999</v>
      </c>
      <c r="Q683" s="278">
        <f t="shared" ref="Q683:Q685" si="1907">+P683*$X$1</f>
        <v>11426.099999999999</v>
      </c>
      <c r="R683" s="607">
        <f>F683+950</f>
        <v>11326.099999999999</v>
      </c>
      <c r="S683" s="278">
        <f t="shared" ref="S683:S685" si="1908">+R683*$X$1</f>
        <v>11326.099999999999</v>
      </c>
      <c r="T683" s="607">
        <f>F683+800</f>
        <v>11176.099999999999</v>
      </c>
      <c r="U683" s="278">
        <f t="shared" ref="U683:U685" si="1909">+T683*$X$1</f>
        <v>11176.099999999999</v>
      </c>
      <c r="V683" s="607">
        <f>F683+650</f>
        <v>11026.099999999999</v>
      </c>
      <c r="W683" s="278">
        <f t="shared" ref="W683:W685" si="1910">+V683*$X$1</f>
        <v>11026.099999999999</v>
      </c>
      <c r="X683" s="684"/>
      <c r="Y683" s="685"/>
      <c r="Z683" s="685"/>
      <c r="AA683" s="686"/>
      <c r="AB683" s="189">
        <v>1020</v>
      </c>
      <c r="AC683" s="4"/>
      <c r="AD683" s="4"/>
      <c r="AE683" s="4"/>
      <c r="AF683" s="4"/>
      <c r="AG683" s="4"/>
      <c r="AH683" s="125"/>
      <c r="AI683" s="4"/>
      <c r="AJ683" s="4"/>
      <c r="AK683" s="4"/>
      <c r="AL683" s="4"/>
    </row>
    <row r="684" spans="1:38" ht="12.6" customHeight="1" x14ac:dyDescent="0.2">
      <c r="B684" s="711" t="s">
        <v>636</v>
      </c>
      <c r="C684" s="711"/>
      <c r="D684" s="711"/>
      <c r="E684" s="711"/>
      <c r="F684" s="365">
        <f>3.04*X2</f>
        <v>3337.92</v>
      </c>
      <c r="G684" s="279">
        <f t="shared" si="1894"/>
        <v>3337.92</v>
      </c>
      <c r="H684" s="102"/>
      <c r="I684" s="102"/>
      <c r="J684" s="271"/>
      <c r="K684" s="271"/>
      <c r="L684" s="440">
        <f>F684+700</f>
        <v>4037.92</v>
      </c>
      <c r="M684" s="279">
        <f t="shared" si="1905"/>
        <v>4037.92</v>
      </c>
      <c r="N684" s="440">
        <f>F684+500</f>
        <v>3837.92</v>
      </c>
      <c r="O684" s="279">
        <f t="shared" si="1906"/>
        <v>3837.92</v>
      </c>
      <c r="P684" s="440">
        <f>F684+400</f>
        <v>3737.92</v>
      </c>
      <c r="Q684" s="279">
        <f t="shared" si="1907"/>
        <v>3737.92</v>
      </c>
      <c r="R684" s="440">
        <f>F684+330</f>
        <v>3667.92</v>
      </c>
      <c r="S684" s="279">
        <f t="shared" si="1908"/>
        <v>3667.92</v>
      </c>
      <c r="T684" s="440">
        <f>F684+280</f>
        <v>3617.92</v>
      </c>
      <c r="U684" s="279">
        <f t="shared" si="1909"/>
        <v>3617.92</v>
      </c>
      <c r="V684" s="440">
        <f>F684+220</f>
        <v>3557.92</v>
      </c>
      <c r="W684" s="279">
        <f t="shared" si="1910"/>
        <v>3557.92</v>
      </c>
      <c r="X684" s="406"/>
      <c r="Y684" s="133"/>
      <c r="Z684" s="131"/>
      <c r="AA684" s="134"/>
      <c r="AB684" s="404" t="s">
        <v>637</v>
      </c>
    </row>
    <row r="685" spans="1:38" ht="12.6" customHeight="1" x14ac:dyDescent="0.2">
      <c r="B685" s="746" t="s">
        <v>641</v>
      </c>
      <c r="C685" s="746"/>
      <c r="D685" s="746"/>
      <c r="E685" s="746"/>
      <c r="F685" s="364">
        <f>11.3*X2</f>
        <v>12407.400000000001</v>
      </c>
      <c r="G685" s="278">
        <f t="shared" si="1894"/>
        <v>12407.400000000001</v>
      </c>
      <c r="H685" s="98"/>
      <c r="I685" s="98"/>
      <c r="J685" s="70">
        <f>F685+900</f>
        <v>13307.400000000001</v>
      </c>
      <c r="K685" s="278">
        <f>+J685*$X$1</f>
        <v>13307.400000000001</v>
      </c>
      <c r="L685" s="607">
        <f>F685+700</f>
        <v>13107.400000000001</v>
      </c>
      <c r="M685" s="278">
        <f t="shared" si="1905"/>
        <v>13107.400000000001</v>
      </c>
      <c r="N685" s="607">
        <f>F685+500</f>
        <v>12907.400000000001</v>
      </c>
      <c r="O685" s="278">
        <f t="shared" si="1906"/>
        <v>12907.400000000001</v>
      </c>
      <c r="P685" s="607">
        <f>F685+400</f>
        <v>12807.400000000001</v>
      </c>
      <c r="Q685" s="278">
        <f t="shared" si="1907"/>
        <v>12807.400000000001</v>
      </c>
      <c r="R685" s="607">
        <f>F685+330</f>
        <v>12737.400000000001</v>
      </c>
      <c r="S685" s="278">
        <f t="shared" si="1908"/>
        <v>12737.400000000001</v>
      </c>
      <c r="T685" s="607">
        <f>F685+280</f>
        <v>12687.400000000001</v>
      </c>
      <c r="U685" s="278">
        <f t="shared" si="1909"/>
        <v>12687.400000000001</v>
      </c>
      <c r="V685" s="607">
        <f>F685+220</f>
        <v>12627.400000000001</v>
      </c>
      <c r="W685" s="278">
        <f t="shared" si="1910"/>
        <v>12627.400000000001</v>
      </c>
      <c r="X685" s="407"/>
      <c r="Y685" s="133"/>
      <c r="Z685" s="131"/>
      <c r="AA685" s="134"/>
      <c r="AB685" s="404" t="s">
        <v>642</v>
      </c>
    </row>
    <row r="686" spans="1:38" ht="12.6" customHeight="1" x14ac:dyDescent="0.2">
      <c r="B686" s="711" t="s">
        <v>474</v>
      </c>
      <c r="C686" s="711"/>
      <c r="D686" s="711"/>
      <c r="E686" s="711"/>
      <c r="F686" s="365">
        <f>4.3*X2</f>
        <v>4721.3999999999996</v>
      </c>
      <c r="G686" s="279">
        <f t="shared" si="1894"/>
        <v>4721.3999999999996</v>
      </c>
      <c r="H686" s="102"/>
      <c r="I686" s="102"/>
      <c r="J686" s="440">
        <f>F686+1000</f>
        <v>5721.4</v>
      </c>
      <c r="K686" s="279">
        <f t="shared" ref="K686:K688" si="1911">+J686*$X$1</f>
        <v>5721.4</v>
      </c>
      <c r="L686" s="440">
        <f>F686+600</f>
        <v>5321.4</v>
      </c>
      <c r="M686" s="279">
        <f t="shared" ref="M686:M688" si="1912">+L686*$X$1</f>
        <v>5321.4</v>
      </c>
      <c r="N686" s="440">
        <f>F686+380</f>
        <v>5101.3999999999996</v>
      </c>
      <c r="O686" s="279">
        <f t="shared" ref="O686:O688" si="1913">+N686*$X$1</f>
        <v>5101.3999999999996</v>
      </c>
      <c r="P686" s="440">
        <f>F686+270</f>
        <v>4991.3999999999996</v>
      </c>
      <c r="Q686" s="279">
        <f t="shared" ref="Q686:Q688" si="1914">+P686*$X$1</f>
        <v>4991.3999999999996</v>
      </c>
      <c r="R686" s="440">
        <f>F686+180</f>
        <v>4901.3999999999996</v>
      </c>
      <c r="S686" s="279">
        <f t="shared" ref="S686:S688" si="1915">+R686*$X$1</f>
        <v>4901.3999999999996</v>
      </c>
      <c r="T686" s="440">
        <f>F686+140</f>
        <v>4861.3999999999996</v>
      </c>
      <c r="U686" s="279">
        <f t="shared" ref="U686:U688" si="1916">+T686*$X$1</f>
        <v>4861.3999999999996</v>
      </c>
      <c r="V686" s="440">
        <f>F686+110</f>
        <v>4831.3999999999996</v>
      </c>
      <c r="W686" s="279">
        <f t="shared" ref="W686:W688" si="1917">+V686*$X$1</f>
        <v>4831.3999999999996</v>
      </c>
      <c r="X686" s="228"/>
      <c r="Y686" s="133"/>
      <c r="Z686" s="131"/>
      <c r="AA686" s="134"/>
      <c r="AB686" s="404" t="s">
        <v>406</v>
      </c>
    </row>
    <row r="687" spans="1:38" s="1" customFormat="1" ht="12.6" customHeight="1" x14ac:dyDescent="0.2">
      <c r="A687" s="19"/>
      <c r="B687" s="760" t="s">
        <v>929</v>
      </c>
      <c r="C687" s="761"/>
      <c r="D687" s="761"/>
      <c r="E687" s="762"/>
      <c r="F687" s="364">
        <f>22.49*X2</f>
        <v>24694.019999999997</v>
      </c>
      <c r="G687" s="278">
        <f t="shared" ref="G687" si="1918">+F687*$X$1</f>
        <v>24694.019999999997</v>
      </c>
      <c r="H687" s="607">
        <f>F687+3000</f>
        <v>27694.019999999997</v>
      </c>
      <c r="I687" s="278">
        <f t="shared" ref="I687:I688" si="1919">+H687*$X$1</f>
        <v>27694.019999999997</v>
      </c>
      <c r="J687" s="607">
        <f>F687+900</f>
        <v>25594.019999999997</v>
      </c>
      <c r="K687" s="278">
        <f t="shared" si="1911"/>
        <v>25594.019999999997</v>
      </c>
      <c r="L687" s="607">
        <f>F687+700</f>
        <v>25394.019999999997</v>
      </c>
      <c r="M687" s="278">
        <f t="shared" si="1912"/>
        <v>25394.019999999997</v>
      </c>
      <c r="N687" s="607">
        <f>F687+500</f>
        <v>25194.019999999997</v>
      </c>
      <c r="O687" s="278">
        <f t="shared" si="1913"/>
        <v>25194.019999999997</v>
      </c>
      <c r="P687" s="607">
        <f>F687+400</f>
        <v>25094.019999999997</v>
      </c>
      <c r="Q687" s="278">
        <f t="shared" si="1914"/>
        <v>25094.019999999997</v>
      </c>
      <c r="R687" s="607">
        <f>F687+330</f>
        <v>25024.019999999997</v>
      </c>
      <c r="S687" s="278">
        <f t="shared" si="1915"/>
        <v>25024.019999999997</v>
      </c>
      <c r="T687" s="607">
        <f>F687+280</f>
        <v>24974.019999999997</v>
      </c>
      <c r="U687" s="278">
        <f t="shared" si="1916"/>
        <v>24974.019999999997</v>
      </c>
      <c r="V687" s="607">
        <f>F687+220</f>
        <v>24914.019999999997</v>
      </c>
      <c r="W687" s="278">
        <f t="shared" si="1917"/>
        <v>24914.019999999997</v>
      </c>
      <c r="X687" s="684"/>
      <c r="Y687" s="685"/>
      <c r="Z687" s="685"/>
      <c r="AA687" s="686"/>
      <c r="AB687" s="189">
        <v>10506</v>
      </c>
      <c r="AC687" s="4"/>
      <c r="AD687" s="4"/>
      <c r="AE687" s="4"/>
      <c r="AF687" s="4"/>
      <c r="AG687" s="4"/>
      <c r="AH687" s="125"/>
      <c r="AI687" s="4"/>
      <c r="AJ687" s="4"/>
      <c r="AK687" s="4"/>
      <c r="AL687" s="4"/>
    </row>
    <row r="688" spans="1:38" s="1" customFormat="1" ht="12.6" customHeight="1" x14ac:dyDescent="0.2">
      <c r="A688" s="19"/>
      <c r="B688" s="760" t="s">
        <v>904</v>
      </c>
      <c r="C688" s="761"/>
      <c r="D688" s="761"/>
      <c r="E688" s="762"/>
      <c r="F688" s="365">
        <f>29.6*X2</f>
        <v>32500.800000000003</v>
      </c>
      <c r="G688" s="279">
        <f t="shared" si="1894"/>
        <v>32500.800000000003</v>
      </c>
      <c r="H688" s="440">
        <f>F688+3000</f>
        <v>35500.800000000003</v>
      </c>
      <c r="I688" s="279">
        <f t="shared" si="1919"/>
        <v>35500.800000000003</v>
      </c>
      <c r="J688" s="440">
        <f>F688+900</f>
        <v>33400.800000000003</v>
      </c>
      <c r="K688" s="279">
        <f t="shared" si="1911"/>
        <v>33400.800000000003</v>
      </c>
      <c r="L688" s="440">
        <f>F688+700</f>
        <v>33200.800000000003</v>
      </c>
      <c r="M688" s="279">
        <f t="shared" si="1912"/>
        <v>33200.800000000003</v>
      </c>
      <c r="N688" s="440">
        <f>F688+500</f>
        <v>33000.800000000003</v>
      </c>
      <c r="O688" s="279">
        <f t="shared" si="1913"/>
        <v>33000.800000000003</v>
      </c>
      <c r="P688" s="440">
        <f>F688+400</f>
        <v>32900.800000000003</v>
      </c>
      <c r="Q688" s="279">
        <f t="shared" si="1914"/>
        <v>32900.800000000003</v>
      </c>
      <c r="R688" s="440">
        <f>F688+330</f>
        <v>32830.800000000003</v>
      </c>
      <c r="S688" s="279">
        <f t="shared" si="1915"/>
        <v>32830.800000000003</v>
      </c>
      <c r="T688" s="440">
        <f>F688+280</f>
        <v>32780.800000000003</v>
      </c>
      <c r="U688" s="279">
        <f t="shared" si="1916"/>
        <v>32780.800000000003</v>
      </c>
      <c r="V688" s="440">
        <f>F688+220</f>
        <v>32720.800000000003</v>
      </c>
      <c r="W688" s="279">
        <f t="shared" si="1917"/>
        <v>32720.800000000003</v>
      </c>
      <c r="X688" s="684"/>
      <c r="Y688" s="685"/>
      <c r="Z688" s="685"/>
      <c r="AA688" s="686"/>
      <c r="AB688" s="189">
        <v>10507</v>
      </c>
      <c r="AC688" s="4"/>
      <c r="AD688" s="4"/>
      <c r="AE688" s="4"/>
      <c r="AF688" s="4"/>
      <c r="AG688" s="4"/>
      <c r="AH688" s="125"/>
      <c r="AI688" s="4"/>
      <c r="AJ688" s="4"/>
      <c r="AK688" s="4"/>
      <c r="AL688" s="4"/>
    </row>
    <row r="689" spans="1:38" ht="12.6" customHeight="1" x14ac:dyDescent="0.2">
      <c r="A689" s="10"/>
      <c r="B689" s="1166" t="s">
        <v>301</v>
      </c>
      <c r="C689" s="1166"/>
      <c r="D689" s="1166"/>
      <c r="E689" s="1166"/>
      <c r="F689" s="364">
        <f>35.1*X2</f>
        <v>38539.800000000003</v>
      </c>
      <c r="G689" s="278">
        <f t="shared" ref="G689" si="1920">+F689*$X$1</f>
        <v>38539.800000000003</v>
      </c>
      <c r="H689" s="98"/>
      <c r="I689" s="98"/>
      <c r="J689" s="70">
        <f>F689+900</f>
        <v>39439.800000000003</v>
      </c>
      <c r="K689" s="278">
        <f>+J689*$X$1</f>
        <v>39439.800000000003</v>
      </c>
      <c r="L689" s="607">
        <f>F689+500</f>
        <v>39039.800000000003</v>
      </c>
      <c r="M689" s="278">
        <f t="shared" ref="M689" si="1921">+L689*$X$1</f>
        <v>39039.800000000003</v>
      </c>
      <c r="N689" s="607">
        <f>F689+300</f>
        <v>38839.800000000003</v>
      </c>
      <c r="O689" s="278">
        <f t="shared" ref="O689" si="1922">+N689*$X$1</f>
        <v>38839.800000000003</v>
      </c>
      <c r="P689" s="607">
        <f>F689+190</f>
        <v>38729.800000000003</v>
      </c>
      <c r="Q689" s="278">
        <f t="shared" ref="Q689" si="1923">+P689*$X$1</f>
        <v>38729.800000000003</v>
      </c>
      <c r="R689" s="607">
        <f>F689+150</f>
        <v>38689.800000000003</v>
      </c>
      <c r="S689" s="278">
        <f t="shared" ref="S689" si="1924">+R689*$X$1</f>
        <v>38689.800000000003</v>
      </c>
      <c r="T689" s="607">
        <f>F689+120</f>
        <v>38659.800000000003</v>
      </c>
      <c r="U689" s="278">
        <f t="shared" ref="U689" si="1925">+T689*$X$1</f>
        <v>38659.800000000003</v>
      </c>
      <c r="V689" s="607"/>
      <c r="W689" s="278"/>
      <c r="X689" s="131"/>
      <c r="Y689" s="135"/>
      <c r="Z689" s="131"/>
      <c r="AA689" s="134"/>
      <c r="AB689" s="404" t="s">
        <v>420</v>
      </c>
    </row>
    <row r="690" spans="1:38" ht="12.6" customHeight="1" x14ac:dyDescent="0.2">
      <c r="A690" s="10"/>
      <c r="B690" s="1020" t="s">
        <v>419</v>
      </c>
      <c r="C690" s="1020"/>
      <c r="D690" s="1020"/>
      <c r="E690" s="1020"/>
      <c r="F690" s="279"/>
      <c r="G690" s="279"/>
      <c r="H690" s="102"/>
      <c r="I690" s="102"/>
      <c r="J690" s="440"/>
      <c r="K690" s="279"/>
      <c r="L690" s="440"/>
      <c r="M690" s="279"/>
      <c r="N690" s="440"/>
      <c r="O690" s="279"/>
      <c r="P690" s="440"/>
      <c r="Q690" s="279"/>
      <c r="R690" s="440"/>
      <c r="S690" s="279"/>
      <c r="T690" s="440"/>
      <c r="U690" s="279"/>
      <c r="V690" s="580"/>
      <c r="W690" s="566"/>
      <c r="X690" s="131"/>
      <c r="Y690" s="135"/>
      <c r="Z690" s="131"/>
      <c r="AA690" s="134"/>
      <c r="AB690" s="404" t="s">
        <v>302</v>
      </c>
    </row>
    <row r="691" spans="1:38" s="1" customFormat="1" ht="12.6" customHeight="1" x14ac:dyDescent="0.2">
      <c r="A691" s="19"/>
      <c r="B691" s="690" t="s">
        <v>836</v>
      </c>
      <c r="C691" s="691"/>
      <c r="D691" s="691"/>
      <c r="E691" s="691"/>
      <c r="F691" s="278">
        <v>20176</v>
      </c>
      <c r="G691" s="278">
        <f t="shared" ref="G691" si="1926">+F691*$X$1</f>
        <v>20176</v>
      </c>
      <c r="H691" s="607"/>
      <c r="I691" s="278"/>
      <c r="J691" s="70"/>
      <c r="K691" s="278"/>
      <c r="L691" s="607">
        <f>F691+600</f>
        <v>20776</v>
      </c>
      <c r="M691" s="278">
        <f t="shared" ref="M691:M692" si="1927">+L691*$X$1</f>
        <v>20776</v>
      </c>
      <c r="N691" s="607">
        <f>F691+380</f>
        <v>20556</v>
      </c>
      <c r="O691" s="278">
        <f t="shared" ref="O691:O692" si="1928">+N691*$X$1</f>
        <v>20556</v>
      </c>
      <c r="P691" s="607">
        <f>F691+270</f>
        <v>20446</v>
      </c>
      <c r="Q691" s="278">
        <f t="shared" ref="Q691:Q692" si="1929">+P691*$X$1</f>
        <v>20446</v>
      </c>
      <c r="R691" s="607">
        <f>F691+180</f>
        <v>20356</v>
      </c>
      <c r="S691" s="278">
        <f t="shared" ref="S691:S692" si="1930">+R691*$X$1</f>
        <v>20356</v>
      </c>
      <c r="T691" s="607">
        <f>F691+140</f>
        <v>20316</v>
      </c>
      <c r="U691" s="278">
        <f t="shared" ref="U691:U692" si="1931">+T691*$X$1</f>
        <v>20316</v>
      </c>
      <c r="V691" s="607">
        <f>F691+110</f>
        <v>20286</v>
      </c>
      <c r="W691" s="278">
        <f t="shared" ref="W691:W692" si="1932">+V691*$X$1</f>
        <v>20286</v>
      </c>
      <c r="X691" s="684"/>
      <c r="Y691" s="685"/>
      <c r="Z691" s="685"/>
      <c r="AA691" s="686"/>
      <c r="AB691" s="189" t="s">
        <v>834</v>
      </c>
      <c r="AC691" s="4"/>
      <c r="AD691" s="4"/>
      <c r="AE691" s="4"/>
      <c r="AF691" s="4"/>
      <c r="AG691" s="4"/>
      <c r="AH691" s="125"/>
      <c r="AI691" s="4"/>
      <c r="AJ691" s="4"/>
      <c r="AK691" s="4"/>
      <c r="AL691" s="4"/>
    </row>
    <row r="692" spans="1:38" s="1" customFormat="1" ht="12.6" customHeight="1" x14ac:dyDescent="0.2">
      <c r="A692" s="19"/>
      <c r="B692" s="672" t="s">
        <v>837</v>
      </c>
      <c r="C692" s="673"/>
      <c r="D692" s="673"/>
      <c r="E692" s="673"/>
      <c r="F692" s="279">
        <v>11058</v>
      </c>
      <c r="G692" s="279">
        <f t="shared" ref="G692" si="1933">+F692*$X$1</f>
        <v>11058</v>
      </c>
      <c r="H692" s="440"/>
      <c r="I692" s="279"/>
      <c r="J692" s="87"/>
      <c r="K692" s="279"/>
      <c r="L692" s="440">
        <f>F692+600</f>
        <v>11658</v>
      </c>
      <c r="M692" s="279">
        <f t="shared" si="1927"/>
        <v>11658</v>
      </c>
      <c r="N692" s="440">
        <f>F692+380</f>
        <v>11438</v>
      </c>
      <c r="O692" s="279">
        <f t="shared" si="1928"/>
        <v>11438</v>
      </c>
      <c r="P692" s="440">
        <f>F692+270</f>
        <v>11328</v>
      </c>
      <c r="Q692" s="279">
        <f t="shared" si="1929"/>
        <v>11328</v>
      </c>
      <c r="R692" s="440">
        <f>F692+180</f>
        <v>11238</v>
      </c>
      <c r="S692" s="279">
        <f t="shared" si="1930"/>
        <v>11238</v>
      </c>
      <c r="T692" s="440">
        <f>F692+140</f>
        <v>11198</v>
      </c>
      <c r="U692" s="279">
        <f t="shared" si="1931"/>
        <v>11198</v>
      </c>
      <c r="V692" s="440">
        <f>F692+110</f>
        <v>11168</v>
      </c>
      <c r="W692" s="279">
        <f t="shared" si="1932"/>
        <v>11168</v>
      </c>
      <c r="X692" s="684"/>
      <c r="Y692" s="685"/>
      <c r="Z692" s="685"/>
      <c r="AA692" s="686"/>
      <c r="AB692" s="189" t="s">
        <v>835</v>
      </c>
      <c r="AC692" s="4"/>
      <c r="AD692" s="4"/>
      <c r="AE692" s="4"/>
      <c r="AF692" s="4"/>
      <c r="AG692" s="4"/>
      <c r="AH692" s="125"/>
      <c r="AI692" s="4"/>
      <c r="AJ692" s="4"/>
      <c r="AK692" s="4"/>
      <c r="AL692" s="4"/>
    </row>
    <row r="693" spans="1:38" ht="12.6" customHeight="1" x14ac:dyDescent="0.2">
      <c r="A693" s="199"/>
      <c r="B693" s="746" t="s">
        <v>517</v>
      </c>
      <c r="C693" s="691"/>
      <c r="D693" s="691"/>
      <c r="E693" s="691"/>
      <c r="F693" s="278">
        <v>18624</v>
      </c>
      <c r="G693" s="278">
        <f t="shared" ref="G693" si="1934">+F693*$X$1</f>
        <v>18624</v>
      </c>
      <c r="H693" s="272"/>
      <c r="I693" s="272"/>
      <c r="J693" s="100">
        <f>F693+1000</f>
        <v>19624</v>
      </c>
      <c r="K693" s="295">
        <f t="shared" ref="K693" si="1935">+J693*$X$1</f>
        <v>19624</v>
      </c>
      <c r="L693" s="100">
        <f t="shared" ref="L693" si="1936">F693+800</f>
        <v>19424</v>
      </c>
      <c r="M693" s="295">
        <f t="shared" ref="M693:M696" si="1937">+L693*$X$1</f>
        <v>19424</v>
      </c>
      <c r="N693" s="100">
        <f t="shared" ref="N693" si="1938">F693+700</f>
        <v>19324</v>
      </c>
      <c r="O693" s="295">
        <f t="shared" ref="O693:O696" si="1939">+N693*$X$1</f>
        <v>19324</v>
      </c>
      <c r="P693" s="100">
        <f t="shared" ref="P693" si="1940">F693+600</f>
        <v>19224</v>
      </c>
      <c r="Q693" s="295">
        <f t="shared" ref="Q693:Q696" si="1941">+P693*$X$1</f>
        <v>19224</v>
      </c>
      <c r="R693" s="100">
        <f t="shared" ref="R693" si="1942">F693+500</f>
        <v>19124</v>
      </c>
      <c r="S693" s="295">
        <f t="shared" ref="S693:S696" si="1943">+R693*$X$1</f>
        <v>19124</v>
      </c>
      <c r="T693" s="100">
        <f t="shared" ref="T693" si="1944">F693+450</f>
        <v>19074</v>
      </c>
      <c r="U693" s="295">
        <f t="shared" ref="U693:U696" si="1945">+T693*$X$1</f>
        <v>19074</v>
      </c>
      <c r="V693" s="579"/>
      <c r="W693" s="278"/>
      <c r="X693" s="297"/>
      <c r="Y693" s="297"/>
      <c r="Z693" s="297"/>
      <c r="AA693" s="297"/>
      <c r="AB693" s="404" t="s">
        <v>643</v>
      </c>
    </row>
    <row r="694" spans="1:38" ht="12.6" customHeight="1" x14ac:dyDescent="0.2">
      <c r="A694" s="199"/>
      <c r="B694" s="841" t="s">
        <v>402</v>
      </c>
      <c r="C694" s="660"/>
      <c r="D694" s="660"/>
      <c r="E694" s="660"/>
      <c r="F694" s="279">
        <v>20890</v>
      </c>
      <c r="G694" s="279">
        <f t="shared" ref="G694:G699" si="1946">+F694*$X$1</f>
        <v>20890</v>
      </c>
      <c r="H694" s="271"/>
      <c r="I694" s="271"/>
      <c r="J694" s="440"/>
      <c r="K694" s="279"/>
      <c r="L694" s="440">
        <f>F694+600</f>
        <v>21490</v>
      </c>
      <c r="M694" s="279">
        <f t="shared" si="1937"/>
        <v>21490</v>
      </c>
      <c r="N694" s="440">
        <f>F694+380</f>
        <v>21270</v>
      </c>
      <c r="O694" s="279">
        <f t="shared" si="1939"/>
        <v>21270</v>
      </c>
      <c r="P694" s="440">
        <f>F694+270</f>
        <v>21160</v>
      </c>
      <c r="Q694" s="279">
        <f t="shared" si="1941"/>
        <v>21160</v>
      </c>
      <c r="R694" s="440">
        <f>F694+180</f>
        <v>21070</v>
      </c>
      <c r="S694" s="279">
        <f t="shared" si="1943"/>
        <v>21070</v>
      </c>
      <c r="T694" s="440">
        <f>F694+140</f>
        <v>21030</v>
      </c>
      <c r="U694" s="279">
        <f t="shared" si="1945"/>
        <v>21030</v>
      </c>
      <c r="V694" s="440">
        <f>F694+110</f>
        <v>21000</v>
      </c>
      <c r="W694" s="279">
        <f t="shared" ref="W694:W696" si="1947">+V694*$X$1</f>
        <v>21000</v>
      </c>
      <c r="X694" s="148"/>
      <c r="Y694" s="148"/>
      <c r="Z694" s="148"/>
      <c r="AA694" s="148"/>
      <c r="AB694" s="404" t="s">
        <v>405</v>
      </c>
    </row>
    <row r="695" spans="1:38" ht="12.6" customHeight="1" x14ac:dyDescent="0.2">
      <c r="A695" s="199"/>
      <c r="B695" s="804" t="s">
        <v>516</v>
      </c>
      <c r="C695" s="805"/>
      <c r="D695" s="805"/>
      <c r="E695" s="805"/>
      <c r="F695" s="278">
        <v>21780</v>
      </c>
      <c r="G695" s="278">
        <f t="shared" ref="G695:G696" si="1948">+F695*$X$1</f>
        <v>21780</v>
      </c>
      <c r="H695" s="607">
        <f>F695+3000</f>
        <v>24780</v>
      </c>
      <c r="I695" s="278">
        <f t="shared" ref="I695" si="1949">+H695*$X$1</f>
        <v>24780</v>
      </c>
      <c r="J695" s="607">
        <f t="shared" ref="J695:J701" si="1950">F695+1000</f>
        <v>22780</v>
      </c>
      <c r="K695" s="278">
        <f t="shared" ref="K695" si="1951">+J695*$X$1</f>
        <v>22780</v>
      </c>
      <c r="L695" s="607">
        <f>F695+600</f>
        <v>22380</v>
      </c>
      <c r="M695" s="278">
        <f t="shared" si="1937"/>
        <v>22380</v>
      </c>
      <c r="N695" s="607">
        <f>F695+380</f>
        <v>22160</v>
      </c>
      <c r="O695" s="278">
        <f t="shared" si="1939"/>
        <v>22160</v>
      </c>
      <c r="P695" s="607">
        <f>F695+270</f>
        <v>22050</v>
      </c>
      <c r="Q695" s="278">
        <f t="shared" si="1941"/>
        <v>22050</v>
      </c>
      <c r="R695" s="607">
        <f>F695+180</f>
        <v>21960</v>
      </c>
      <c r="S695" s="278">
        <f t="shared" si="1943"/>
        <v>21960</v>
      </c>
      <c r="T695" s="607">
        <f>F695+140</f>
        <v>21920</v>
      </c>
      <c r="U695" s="278">
        <f t="shared" si="1945"/>
        <v>21920</v>
      </c>
      <c r="V695" s="607">
        <f>F695+110</f>
        <v>21890</v>
      </c>
      <c r="W695" s="278">
        <f t="shared" si="1947"/>
        <v>21890</v>
      </c>
      <c r="X695" s="297"/>
      <c r="Y695" s="297"/>
      <c r="Z695" s="297"/>
      <c r="AA695" s="297"/>
      <c r="AB695" s="404" t="s">
        <v>518</v>
      </c>
    </row>
    <row r="696" spans="1:38" ht="12.6" customHeight="1" x14ac:dyDescent="0.2">
      <c r="A696" s="199"/>
      <c r="B696" s="841" t="s">
        <v>739</v>
      </c>
      <c r="C696" s="660"/>
      <c r="D696" s="660"/>
      <c r="E696" s="660"/>
      <c r="F696" s="279">
        <v>21603</v>
      </c>
      <c r="G696" s="279">
        <f t="shared" si="1948"/>
        <v>21603</v>
      </c>
      <c r="H696" s="440">
        <f>F696+3000</f>
        <v>24603</v>
      </c>
      <c r="I696" s="279">
        <f t="shared" ref="I696" si="1952">+H696*$X$1</f>
        <v>24603</v>
      </c>
      <c r="J696" s="440">
        <f t="shared" si="1950"/>
        <v>22603</v>
      </c>
      <c r="K696" s="279">
        <f t="shared" ref="K696:K701" si="1953">+J696*$X$1</f>
        <v>22603</v>
      </c>
      <c r="L696" s="440">
        <f>F696+600</f>
        <v>22203</v>
      </c>
      <c r="M696" s="279">
        <f t="shared" si="1937"/>
        <v>22203</v>
      </c>
      <c r="N696" s="440">
        <f>F696+380</f>
        <v>21983</v>
      </c>
      <c r="O696" s="279">
        <f t="shared" si="1939"/>
        <v>21983</v>
      </c>
      <c r="P696" s="440">
        <f>F696+270</f>
        <v>21873</v>
      </c>
      <c r="Q696" s="279">
        <f t="shared" si="1941"/>
        <v>21873</v>
      </c>
      <c r="R696" s="440">
        <f>F696+180</f>
        <v>21783</v>
      </c>
      <c r="S696" s="279">
        <f t="shared" si="1943"/>
        <v>21783</v>
      </c>
      <c r="T696" s="440">
        <f>F696+140</f>
        <v>21743</v>
      </c>
      <c r="U696" s="279">
        <f t="shared" si="1945"/>
        <v>21743</v>
      </c>
      <c r="V696" s="440">
        <f>F696+110</f>
        <v>21713</v>
      </c>
      <c r="W696" s="279">
        <f t="shared" si="1947"/>
        <v>21713</v>
      </c>
      <c r="X696" s="438"/>
      <c r="Y696" s="438"/>
      <c r="Z696" s="438"/>
      <c r="AA696" s="438"/>
      <c r="AB696" s="404" t="s">
        <v>740</v>
      </c>
    </row>
    <row r="697" spans="1:38" ht="12.6" customHeight="1" x14ac:dyDescent="0.2">
      <c r="A697" s="199"/>
      <c r="B697" s="804" t="s">
        <v>401</v>
      </c>
      <c r="C697" s="805"/>
      <c r="D697" s="805"/>
      <c r="E697" s="805"/>
      <c r="F697" s="278">
        <v>23148</v>
      </c>
      <c r="G697" s="278">
        <f t="shared" si="1946"/>
        <v>23148</v>
      </c>
      <c r="H697" s="272"/>
      <c r="I697" s="272"/>
      <c r="J697" s="100">
        <f t="shared" si="1950"/>
        <v>24148</v>
      </c>
      <c r="K697" s="295">
        <f t="shared" si="1953"/>
        <v>24148</v>
      </c>
      <c r="L697" s="100">
        <f t="shared" ref="L697:L701" si="1954">F697+800</f>
        <v>23948</v>
      </c>
      <c r="M697" s="295">
        <f t="shared" ref="M697:M701" si="1955">+L697*$X$1</f>
        <v>23948</v>
      </c>
      <c r="N697" s="100">
        <f t="shared" ref="N697:N701" si="1956">F697+700</f>
        <v>23848</v>
      </c>
      <c r="O697" s="295">
        <f t="shared" ref="O697:O701" si="1957">+N697*$X$1</f>
        <v>23848</v>
      </c>
      <c r="P697" s="100">
        <f t="shared" ref="P697:P701" si="1958">F697+600</f>
        <v>23748</v>
      </c>
      <c r="Q697" s="295">
        <f t="shared" ref="Q697:Q701" si="1959">+P697*$X$1</f>
        <v>23748</v>
      </c>
      <c r="R697" s="100">
        <f t="shared" ref="R697:R701" si="1960">F697+500</f>
        <v>23648</v>
      </c>
      <c r="S697" s="295">
        <f t="shared" ref="S697:S701" si="1961">+R697*$X$1</f>
        <v>23648</v>
      </c>
      <c r="T697" s="100">
        <f t="shared" ref="T697:T701" si="1962">F697+450</f>
        <v>23598</v>
      </c>
      <c r="U697" s="295">
        <f t="shared" ref="U697:U701" si="1963">+T697*$X$1</f>
        <v>23598</v>
      </c>
      <c r="V697" s="298"/>
      <c r="W697" s="278"/>
      <c r="X697" s="148"/>
      <c r="Y697" s="148"/>
      <c r="Z697" s="148"/>
      <c r="AA697" s="148"/>
      <c r="AB697" s="404" t="s">
        <v>404</v>
      </c>
    </row>
    <row r="698" spans="1:38" ht="12.6" customHeight="1" x14ac:dyDescent="0.2">
      <c r="A698" s="199"/>
      <c r="B698" s="841" t="s">
        <v>519</v>
      </c>
      <c r="C698" s="660"/>
      <c r="D698" s="660"/>
      <c r="E698" s="660"/>
      <c r="F698" s="365">
        <f>15.3*X2</f>
        <v>16799.400000000001</v>
      </c>
      <c r="G698" s="279">
        <f t="shared" ref="G698" si="1964">+F698*$X$1</f>
        <v>16799.400000000001</v>
      </c>
      <c r="H698" s="271"/>
      <c r="I698" s="271"/>
      <c r="J698" s="99">
        <f t="shared" si="1950"/>
        <v>17799.400000000001</v>
      </c>
      <c r="K698" s="308">
        <f t="shared" si="1953"/>
        <v>17799.400000000001</v>
      </c>
      <c r="L698" s="99">
        <f t="shared" si="1954"/>
        <v>17599.400000000001</v>
      </c>
      <c r="M698" s="308">
        <f t="shared" si="1955"/>
        <v>17599.400000000001</v>
      </c>
      <c r="N698" s="99">
        <f t="shared" si="1956"/>
        <v>17499.400000000001</v>
      </c>
      <c r="O698" s="308">
        <f t="shared" si="1957"/>
        <v>17499.400000000001</v>
      </c>
      <c r="P698" s="99">
        <f t="shared" si="1958"/>
        <v>17399.400000000001</v>
      </c>
      <c r="Q698" s="308">
        <f t="shared" si="1959"/>
        <v>17399.400000000001</v>
      </c>
      <c r="R698" s="99">
        <f t="shared" si="1960"/>
        <v>17299.400000000001</v>
      </c>
      <c r="S698" s="308">
        <f t="shared" si="1961"/>
        <v>17299.400000000001</v>
      </c>
      <c r="T698" s="99">
        <f t="shared" si="1962"/>
        <v>17249.400000000001</v>
      </c>
      <c r="U698" s="308">
        <f t="shared" si="1963"/>
        <v>17249.400000000001</v>
      </c>
      <c r="V698" s="475"/>
      <c r="W698" s="279"/>
      <c r="X698" s="299"/>
      <c r="Y698" s="299"/>
      <c r="Z698" s="299"/>
      <c r="AA698" s="299"/>
      <c r="AB698" s="404" t="s">
        <v>644</v>
      </c>
    </row>
    <row r="699" spans="1:38" ht="12.6" customHeight="1" x14ac:dyDescent="0.2">
      <c r="A699" s="199"/>
      <c r="B699" s="804" t="s">
        <v>450</v>
      </c>
      <c r="C699" s="805"/>
      <c r="D699" s="805"/>
      <c r="E699" s="805"/>
      <c r="F699" s="364">
        <f>9.7*X2</f>
        <v>10650.599999999999</v>
      </c>
      <c r="G699" s="278">
        <f t="shared" si="1946"/>
        <v>10650.599999999999</v>
      </c>
      <c r="H699" s="272"/>
      <c r="I699" s="272"/>
      <c r="J699" s="100">
        <f t="shared" si="1950"/>
        <v>11650.599999999999</v>
      </c>
      <c r="K699" s="295">
        <f t="shared" si="1953"/>
        <v>11650.599999999999</v>
      </c>
      <c r="L699" s="100">
        <f t="shared" si="1954"/>
        <v>11450.599999999999</v>
      </c>
      <c r="M699" s="295">
        <f t="shared" si="1955"/>
        <v>11450.599999999999</v>
      </c>
      <c r="N699" s="100">
        <f t="shared" si="1956"/>
        <v>11350.599999999999</v>
      </c>
      <c r="O699" s="295">
        <f t="shared" si="1957"/>
        <v>11350.599999999999</v>
      </c>
      <c r="P699" s="100">
        <f t="shared" si="1958"/>
        <v>11250.599999999999</v>
      </c>
      <c r="Q699" s="295">
        <f t="shared" si="1959"/>
        <v>11250.599999999999</v>
      </c>
      <c r="R699" s="100">
        <f t="shared" si="1960"/>
        <v>11150.599999999999</v>
      </c>
      <c r="S699" s="295">
        <f t="shared" si="1961"/>
        <v>11150.599999999999</v>
      </c>
      <c r="T699" s="100">
        <f t="shared" si="1962"/>
        <v>11100.599999999999</v>
      </c>
      <c r="U699" s="295">
        <f t="shared" si="1963"/>
        <v>11100.599999999999</v>
      </c>
      <c r="V699" s="607"/>
      <c r="W699" s="278"/>
      <c r="X699" s="148"/>
      <c r="Y699" s="148"/>
      <c r="Z699" s="148"/>
      <c r="AA699" s="148"/>
      <c r="AB699" s="404" t="s">
        <v>626</v>
      </c>
    </row>
    <row r="700" spans="1:38" ht="12.6" customHeight="1" x14ac:dyDescent="0.2">
      <c r="A700" s="199"/>
      <c r="B700" s="841" t="s">
        <v>647</v>
      </c>
      <c r="C700" s="660"/>
      <c r="D700" s="660"/>
      <c r="E700" s="660"/>
      <c r="F700" s="365">
        <f>16.8*X2</f>
        <v>18446.400000000001</v>
      </c>
      <c r="G700" s="279">
        <f t="shared" ref="G700" si="1965">+F700*$X$1</f>
        <v>18446.400000000001</v>
      </c>
      <c r="H700" s="271"/>
      <c r="I700" s="271"/>
      <c r="J700" s="99">
        <f t="shared" si="1950"/>
        <v>19446.400000000001</v>
      </c>
      <c r="K700" s="308">
        <f t="shared" si="1953"/>
        <v>19446.400000000001</v>
      </c>
      <c r="L700" s="99">
        <f t="shared" si="1954"/>
        <v>19246.400000000001</v>
      </c>
      <c r="M700" s="308">
        <f t="shared" si="1955"/>
        <v>19246.400000000001</v>
      </c>
      <c r="N700" s="99">
        <f t="shared" si="1956"/>
        <v>19146.400000000001</v>
      </c>
      <c r="O700" s="308">
        <f t="shared" si="1957"/>
        <v>19146.400000000001</v>
      </c>
      <c r="P700" s="99">
        <f t="shared" si="1958"/>
        <v>19046.400000000001</v>
      </c>
      <c r="Q700" s="308">
        <f t="shared" si="1959"/>
        <v>19046.400000000001</v>
      </c>
      <c r="R700" s="99">
        <f t="shared" si="1960"/>
        <v>18946.400000000001</v>
      </c>
      <c r="S700" s="308">
        <f t="shared" si="1961"/>
        <v>18946.400000000001</v>
      </c>
      <c r="T700" s="99">
        <f t="shared" si="1962"/>
        <v>18896.400000000001</v>
      </c>
      <c r="U700" s="308">
        <f t="shared" si="1963"/>
        <v>18896.400000000001</v>
      </c>
      <c r="V700" s="440"/>
      <c r="W700" s="279"/>
      <c r="X700" s="375"/>
      <c r="Y700" s="375"/>
      <c r="Z700" s="375"/>
      <c r="AA700" s="375"/>
      <c r="AB700" s="404" t="s">
        <v>627</v>
      </c>
    </row>
    <row r="701" spans="1:38" ht="12.6" customHeight="1" x14ac:dyDescent="0.2">
      <c r="A701" s="199"/>
      <c r="B701" s="804" t="s">
        <v>449</v>
      </c>
      <c r="C701" s="805"/>
      <c r="D701" s="805"/>
      <c r="E701" s="805"/>
      <c r="F701" s="364">
        <f>12.63*X2</f>
        <v>13867.740000000002</v>
      </c>
      <c r="G701" s="278">
        <f t="shared" ref="G701" si="1966">+F701*$X$1</f>
        <v>13867.740000000002</v>
      </c>
      <c r="H701" s="272"/>
      <c r="I701" s="272"/>
      <c r="J701" s="100">
        <f t="shared" si="1950"/>
        <v>14867.740000000002</v>
      </c>
      <c r="K701" s="295">
        <f t="shared" si="1953"/>
        <v>14867.740000000002</v>
      </c>
      <c r="L701" s="100">
        <f t="shared" si="1954"/>
        <v>14667.740000000002</v>
      </c>
      <c r="M701" s="295">
        <f t="shared" si="1955"/>
        <v>14667.740000000002</v>
      </c>
      <c r="N701" s="100">
        <f t="shared" si="1956"/>
        <v>14567.740000000002</v>
      </c>
      <c r="O701" s="295">
        <f t="shared" si="1957"/>
        <v>14567.740000000002</v>
      </c>
      <c r="P701" s="100">
        <f t="shared" si="1958"/>
        <v>14467.740000000002</v>
      </c>
      <c r="Q701" s="295">
        <f t="shared" si="1959"/>
        <v>14467.740000000002</v>
      </c>
      <c r="R701" s="100">
        <f t="shared" si="1960"/>
        <v>14367.740000000002</v>
      </c>
      <c r="S701" s="295">
        <f t="shared" si="1961"/>
        <v>14367.740000000002</v>
      </c>
      <c r="T701" s="100">
        <f t="shared" si="1962"/>
        <v>14317.740000000002</v>
      </c>
      <c r="U701" s="295">
        <f t="shared" si="1963"/>
        <v>14317.740000000002</v>
      </c>
      <c r="V701" s="607"/>
      <c r="W701" s="278"/>
      <c r="X701" s="148"/>
      <c r="Y701" s="148"/>
      <c r="Z701" s="148"/>
      <c r="AA701" s="148"/>
      <c r="AB701" s="404" t="s">
        <v>628</v>
      </c>
    </row>
    <row r="702" spans="1:38" ht="9.75" customHeight="1" x14ac:dyDescent="0.2">
      <c r="A702" s="199"/>
      <c r="B702" s="105"/>
      <c r="C702" s="487"/>
      <c r="D702" s="487"/>
      <c r="E702" s="487"/>
      <c r="F702" s="409"/>
      <c r="G702" s="323"/>
      <c r="H702" s="114"/>
      <c r="I702" s="323"/>
      <c r="J702" s="114"/>
      <c r="K702" s="323"/>
      <c r="L702" s="114"/>
      <c r="M702" s="323"/>
      <c r="N702" s="114"/>
      <c r="O702" s="323"/>
      <c r="P702" s="114"/>
      <c r="Q702" s="323"/>
      <c r="R702" s="114"/>
      <c r="S702" s="323"/>
      <c r="T702" s="114"/>
      <c r="U702" s="323"/>
      <c r="V702" s="74"/>
      <c r="W702" s="447"/>
      <c r="X702" s="486"/>
      <c r="Y702" s="486"/>
      <c r="Z702" s="486"/>
      <c r="AA702" s="486"/>
      <c r="AB702" s="410"/>
    </row>
    <row r="703" spans="1:38" ht="19.5" customHeight="1" x14ac:dyDescent="0.2">
      <c r="A703" s="28"/>
      <c r="B703" s="1088" t="s">
        <v>303</v>
      </c>
      <c r="C703" s="1089"/>
      <c r="D703" s="1089"/>
      <c r="E703" s="1089"/>
      <c r="F703" s="1089"/>
      <c r="G703" s="1089"/>
      <c r="H703" s="1089"/>
      <c r="I703" s="1089"/>
      <c r="J703" s="1089"/>
      <c r="K703" s="1089"/>
      <c r="L703" s="1089"/>
      <c r="M703" s="1089"/>
      <c r="N703" s="1089"/>
      <c r="O703" s="1089"/>
      <c r="P703" s="1089"/>
      <c r="Q703" s="1089"/>
      <c r="R703" s="1089"/>
      <c r="S703" s="1089"/>
      <c r="T703" s="1089"/>
      <c r="U703" s="1089"/>
      <c r="V703" s="1089"/>
      <c r="W703" s="1090"/>
      <c r="AF703" s="674"/>
      <c r="AG703" s="675"/>
      <c r="AH703" s="675"/>
    </row>
    <row r="704" spans="1:38" ht="12.6" customHeight="1" x14ac:dyDescent="0.2">
      <c r="A704" s="18"/>
      <c r="B704" s="968"/>
      <c r="C704" s="969"/>
      <c r="D704" s="969"/>
      <c r="E704" s="969"/>
      <c r="F704" s="969"/>
      <c r="G704" s="970"/>
      <c r="H704" s="466"/>
      <c r="I704" s="467" t="s">
        <v>285</v>
      </c>
      <c r="J704" s="467"/>
      <c r="K704" s="467" t="s">
        <v>17</v>
      </c>
      <c r="L704" s="467"/>
      <c r="M704" s="467" t="s">
        <v>18</v>
      </c>
      <c r="N704" s="467"/>
      <c r="O704" s="467" t="s">
        <v>19</v>
      </c>
      <c r="P704" s="467"/>
      <c r="Q704" s="467" t="s">
        <v>286</v>
      </c>
      <c r="R704" s="467"/>
      <c r="S704" s="467" t="s">
        <v>20</v>
      </c>
      <c r="T704" s="467"/>
      <c r="U704" s="467" t="s">
        <v>21</v>
      </c>
      <c r="V704" s="467"/>
      <c r="W704" s="467" t="s">
        <v>22</v>
      </c>
    </row>
    <row r="705" spans="1:35" ht="12.6" customHeight="1" x14ac:dyDescent="0.2">
      <c r="A705" s="961"/>
      <c r="B705" s="971" t="s">
        <v>491</v>
      </c>
      <c r="C705" s="972"/>
      <c r="D705" s="972"/>
      <c r="E705" s="972"/>
      <c r="F705" s="972"/>
      <c r="G705" s="973"/>
      <c r="H705" s="614"/>
      <c r="I705" s="376"/>
      <c r="J705" s="377"/>
      <c r="K705" s="350"/>
      <c r="L705" s="283">
        <v>130</v>
      </c>
      <c r="M705" s="350">
        <f>+L705*$X$1</f>
        <v>130</v>
      </c>
      <c r="N705" s="440">
        <v>70</v>
      </c>
      <c r="O705" s="350">
        <f>+N705*$X$1</f>
        <v>70</v>
      </c>
      <c r="P705" s="440">
        <v>50</v>
      </c>
      <c r="Q705" s="350">
        <v>55</v>
      </c>
      <c r="R705" s="440">
        <v>50</v>
      </c>
      <c r="S705" s="350">
        <f>+R705*$X$1</f>
        <v>50</v>
      </c>
      <c r="T705" s="440">
        <v>40</v>
      </c>
      <c r="U705" s="351">
        <f>+T705*$X$1</f>
        <v>40</v>
      </c>
      <c r="V705" s="440">
        <v>35</v>
      </c>
      <c r="W705" s="350">
        <f>+V705*$X$1</f>
        <v>35</v>
      </c>
    </row>
    <row r="706" spans="1:35" ht="12.6" customHeight="1" x14ac:dyDescent="0.2">
      <c r="A706" s="961"/>
      <c r="B706" s="1085" t="s">
        <v>304</v>
      </c>
      <c r="C706" s="1086"/>
      <c r="D706" s="1086"/>
      <c r="E706" s="1086"/>
      <c r="F706" s="1086"/>
      <c r="G706" s="1087"/>
      <c r="H706" s="615"/>
      <c r="I706" s="378"/>
      <c r="J706" s="379">
        <v>220</v>
      </c>
      <c r="K706" s="352">
        <f>+J706*$X$1</f>
        <v>220</v>
      </c>
      <c r="L706" s="380">
        <v>160</v>
      </c>
      <c r="M706" s="381">
        <f>+L706*$X$1</f>
        <v>160</v>
      </c>
      <c r="N706" s="109">
        <v>130</v>
      </c>
      <c r="O706" s="381">
        <f>+N706*$X$1</f>
        <v>130</v>
      </c>
      <c r="P706" s="109">
        <v>110</v>
      </c>
      <c r="Q706" s="381">
        <f>+P706*$X$1</f>
        <v>110</v>
      </c>
      <c r="R706" s="109">
        <v>90</v>
      </c>
      <c r="S706" s="381">
        <f>+R706*$X$1</f>
        <v>90</v>
      </c>
      <c r="T706" s="109">
        <v>70</v>
      </c>
      <c r="U706" s="381">
        <f>+T706*$X$1</f>
        <v>70</v>
      </c>
      <c r="V706" s="109">
        <v>55</v>
      </c>
      <c r="W706" s="381">
        <f>+V706*$X$1</f>
        <v>55</v>
      </c>
    </row>
    <row r="707" spans="1:35" ht="12.6" customHeight="1" x14ac:dyDescent="0.2">
      <c r="A707" s="961"/>
      <c r="B707" s="971" t="s">
        <v>492</v>
      </c>
      <c r="C707" s="972"/>
      <c r="D707" s="972"/>
      <c r="E707" s="972"/>
      <c r="F707" s="972"/>
      <c r="G707" s="973"/>
      <c r="H707" s="283"/>
      <c r="I707" s="350"/>
      <c r="J707" s="283"/>
      <c r="K707" s="350"/>
      <c r="L707" s="283">
        <v>130</v>
      </c>
      <c r="M707" s="350">
        <f>+L707*$X$1</f>
        <v>130</v>
      </c>
      <c r="N707" s="440">
        <v>80</v>
      </c>
      <c r="O707" s="350">
        <f>+N707*$X$1</f>
        <v>80</v>
      </c>
      <c r="P707" s="440">
        <v>75</v>
      </c>
      <c r="Q707" s="350">
        <f>+P707*$X$1</f>
        <v>75</v>
      </c>
      <c r="R707" s="440">
        <v>65</v>
      </c>
      <c r="S707" s="350">
        <f>+R707*$X$1</f>
        <v>65</v>
      </c>
      <c r="T707" s="440">
        <v>55</v>
      </c>
      <c r="U707" s="351">
        <f>+T707*$X$1</f>
        <v>55</v>
      </c>
      <c r="V707" s="440">
        <v>50</v>
      </c>
      <c r="W707" s="350">
        <f>+V707*$X$1</f>
        <v>50</v>
      </c>
    </row>
    <row r="708" spans="1:35" ht="12.6" customHeight="1" x14ac:dyDescent="0.2">
      <c r="A708" s="961"/>
      <c r="B708" s="1095" t="s">
        <v>490</v>
      </c>
      <c r="C708" s="1096"/>
      <c r="D708" s="1096"/>
      <c r="E708" s="1096"/>
      <c r="F708" s="1096"/>
      <c r="G708" s="1097"/>
      <c r="H708" s="382">
        <v>400</v>
      </c>
      <c r="I708" s="352">
        <f>+H708*$X$1</f>
        <v>400</v>
      </c>
      <c r="J708" s="382">
        <v>220</v>
      </c>
      <c r="K708" s="352">
        <f>+J708*$X$1</f>
        <v>220</v>
      </c>
      <c r="L708" s="382">
        <v>160</v>
      </c>
      <c r="M708" s="352">
        <f>+L708*$X$1</f>
        <v>160</v>
      </c>
      <c r="N708" s="603">
        <v>130</v>
      </c>
      <c r="O708" s="352">
        <f>+N708*$X$1</f>
        <v>130</v>
      </c>
      <c r="P708" s="603">
        <v>120</v>
      </c>
      <c r="Q708" s="352">
        <f>+P708*$X$1</f>
        <v>120</v>
      </c>
      <c r="R708" s="603">
        <v>90</v>
      </c>
      <c r="S708" s="352">
        <f>+R708*$X$1</f>
        <v>90</v>
      </c>
      <c r="T708" s="603">
        <v>80</v>
      </c>
      <c r="U708" s="381">
        <f>+T708*$X$1</f>
        <v>80</v>
      </c>
      <c r="V708" s="603">
        <v>70</v>
      </c>
      <c r="W708" s="352">
        <f>+V708*$X$1</f>
        <v>70</v>
      </c>
    </row>
    <row r="709" spans="1:35" ht="12.75" customHeight="1" x14ac:dyDescent="0.2">
      <c r="A709" s="961"/>
      <c r="B709" s="1127" t="s">
        <v>826</v>
      </c>
      <c r="C709" s="1128"/>
      <c r="D709" s="1128"/>
      <c r="E709" s="1128"/>
      <c r="F709" s="1128"/>
      <c r="G709" s="1128"/>
      <c r="H709" s="1128"/>
      <c r="I709" s="1128"/>
      <c r="J709" s="1128"/>
      <c r="K709" s="1128"/>
      <c r="L709" s="1128"/>
      <c r="M709" s="1128"/>
      <c r="N709" s="1128"/>
      <c r="O709" s="1128"/>
      <c r="P709" s="1128"/>
      <c r="Q709" s="1128"/>
      <c r="R709" s="1128"/>
      <c r="S709" s="1128"/>
      <c r="T709" s="1128"/>
      <c r="U709" s="1128"/>
      <c r="V709" s="1128"/>
      <c r="W709" s="1129"/>
    </row>
    <row r="710" spans="1:35" ht="13.5" customHeight="1" x14ac:dyDescent="0.2">
      <c r="A710" s="961"/>
      <c r="B710" s="1147" t="s">
        <v>558</v>
      </c>
      <c r="C710" s="1133"/>
      <c r="D710" s="1133"/>
      <c r="E710" s="1133"/>
      <c r="F710" s="1133"/>
      <c r="G710" s="1148"/>
      <c r="H710" s="1079"/>
      <c r="I710" s="1074" t="s">
        <v>285</v>
      </c>
      <c r="J710" s="1079"/>
      <c r="K710" s="1074" t="s">
        <v>17</v>
      </c>
      <c r="L710" s="1074"/>
      <c r="M710" s="1074" t="s">
        <v>18</v>
      </c>
      <c r="N710" s="1074"/>
      <c r="O710" s="1074" t="s">
        <v>19</v>
      </c>
      <c r="P710" s="1074"/>
      <c r="Q710" s="1074" t="s">
        <v>286</v>
      </c>
      <c r="R710" s="1074"/>
      <c r="S710" s="1074" t="s">
        <v>20</v>
      </c>
      <c r="T710" s="1074"/>
      <c r="U710" s="1074" t="s">
        <v>21</v>
      </c>
      <c r="V710" s="1074"/>
      <c r="W710" s="1074" t="s">
        <v>22</v>
      </c>
    </row>
    <row r="711" spans="1:35" ht="11.25" customHeight="1" x14ac:dyDescent="0.2">
      <c r="A711" s="961"/>
      <c r="B711" s="871"/>
      <c r="C711" s="872"/>
      <c r="D711" s="872"/>
      <c r="E711" s="872"/>
      <c r="F711" s="872"/>
      <c r="G711" s="873"/>
      <c r="H711" s="1080"/>
      <c r="I711" s="1094"/>
      <c r="J711" s="1080"/>
      <c r="K711" s="1094"/>
      <c r="L711" s="1075"/>
      <c r="M711" s="1075"/>
      <c r="N711" s="1075"/>
      <c r="O711" s="1075"/>
      <c r="P711" s="1075"/>
      <c r="Q711" s="1075"/>
      <c r="R711" s="1075"/>
      <c r="S711" s="1075"/>
      <c r="T711" s="1075"/>
      <c r="U711" s="1075"/>
      <c r="V711" s="1075"/>
      <c r="W711" s="1075"/>
      <c r="AB711" s="58"/>
      <c r="AC711" s="58"/>
      <c r="AD711" s="58"/>
      <c r="AE711" s="58"/>
      <c r="AF711" s="58"/>
      <c r="AG711" s="58"/>
      <c r="AH711" s="58"/>
      <c r="AI711" s="58"/>
    </row>
    <row r="712" spans="1:35" ht="12.6" customHeight="1" x14ac:dyDescent="0.2">
      <c r="A712" s="961"/>
      <c r="B712" s="965" t="s">
        <v>556</v>
      </c>
      <c r="C712" s="966"/>
      <c r="D712" s="966"/>
      <c r="E712" s="966"/>
      <c r="F712" s="966"/>
      <c r="G712" s="967"/>
      <c r="H712" s="87">
        <v>700</v>
      </c>
      <c r="I712" s="353">
        <f>+H712*$X$1</f>
        <v>700</v>
      </c>
      <c r="J712" s="87">
        <v>600</v>
      </c>
      <c r="K712" s="353">
        <f>+J712*$X$1</f>
        <v>600</v>
      </c>
      <c r="L712" s="440">
        <v>450</v>
      </c>
      <c r="M712" s="350">
        <f>+L712*$X$1</f>
        <v>450</v>
      </c>
      <c r="N712" s="440">
        <v>390</v>
      </c>
      <c r="O712" s="350">
        <f>+N712*$X$1</f>
        <v>390</v>
      </c>
      <c r="P712" s="440">
        <v>360</v>
      </c>
      <c r="Q712" s="350">
        <f>+P712*$X$1</f>
        <v>360</v>
      </c>
      <c r="R712" s="440">
        <v>320</v>
      </c>
      <c r="S712" s="350">
        <f>+R712*$X$1</f>
        <v>320</v>
      </c>
      <c r="T712" s="440">
        <v>300</v>
      </c>
      <c r="U712" s="350">
        <f>+T712*$X$1</f>
        <v>300</v>
      </c>
      <c r="V712" s="440">
        <v>290</v>
      </c>
      <c r="W712" s="350">
        <f>+V712*$X$1</f>
        <v>290</v>
      </c>
    </row>
    <row r="713" spans="1:35" ht="12.6" customHeight="1" x14ac:dyDescent="0.2">
      <c r="A713" s="961"/>
      <c r="B713" s="962" t="s">
        <v>553</v>
      </c>
      <c r="C713" s="963"/>
      <c r="D713" s="963"/>
      <c r="E713" s="963"/>
      <c r="F713" s="963"/>
      <c r="G713" s="964"/>
      <c r="H713" s="70">
        <v>750</v>
      </c>
      <c r="I713" s="383">
        <f>+H713*$X$1</f>
        <v>750</v>
      </c>
      <c r="J713" s="70">
        <v>650</v>
      </c>
      <c r="K713" s="383">
        <f>+J713*$X$1</f>
        <v>650</v>
      </c>
      <c r="L713" s="603">
        <v>600</v>
      </c>
      <c r="M713" s="352">
        <f>+L713*$X$1</f>
        <v>600</v>
      </c>
      <c r="N713" s="603">
        <v>540</v>
      </c>
      <c r="O713" s="352">
        <f>+N713*$X$1</f>
        <v>540</v>
      </c>
      <c r="P713" s="603">
        <v>500</v>
      </c>
      <c r="Q713" s="352">
        <f>+P713*$X$1</f>
        <v>500</v>
      </c>
      <c r="R713" s="603">
        <v>460</v>
      </c>
      <c r="S713" s="352">
        <f>+R713*$X$1</f>
        <v>460</v>
      </c>
      <c r="T713" s="603">
        <v>430</v>
      </c>
      <c r="U713" s="352">
        <f>+T713*$X$1</f>
        <v>430</v>
      </c>
      <c r="V713" s="603">
        <v>400</v>
      </c>
      <c r="W713" s="352">
        <f>+V713*$X$1</f>
        <v>400</v>
      </c>
    </row>
    <row r="714" spans="1:35" ht="12.6" customHeight="1" x14ac:dyDescent="0.2">
      <c r="A714" s="961"/>
      <c r="B714" s="965" t="s">
        <v>555</v>
      </c>
      <c r="C714" s="966"/>
      <c r="D714" s="966"/>
      <c r="E714" s="966"/>
      <c r="F714" s="966"/>
      <c r="G714" s="967"/>
      <c r="H714" s="87">
        <v>1000</v>
      </c>
      <c r="I714" s="353">
        <f>+H714*$X$1</f>
        <v>1000</v>
      </c>
      <c r="J714" s="87">
        <v>910</v>
      </c>
      <c r="K714" s="353">
        <f>+J714*$X$1</f>
        <v>910</v>
      </c>
      <c r="L714" s="440">
        <v>800</v>
      </c>
      <c r="M714" s="350">
        <f>+L714*$X$1</f>
        <v>800</v>
      </c>
      <c r="N714" s="440">
        <v>720</v>
      </c>
      <c r="O714" s="350">
        <f>+N714*$X$1</f>
        <v>720</v>
      </c>
      <c r="P714" s="440">
        <v>670</v>
      </c>
      <c r="Q714" s="350">
        <f>+P714*$X$1</f>
        <v>670</v>
      </c>
      <c r="R714" s="440">
        <v>640</v>
      </c>
      <c r="S714" s="350">
        <f>+R714*$X$1</f>
        <v>640</v>
      </c>
      <c r="T714" s="440">
        <v>625</v>
      </c>
      <c r="U714" s="350">
        <f>+T714*$X$1</f>
        <v>625</v>
      </c>
      <c r="V714" s="440">
        <v>600</v>
      </c>
      <c r="W714" s="350">
        <f>+V714*$X$1</f>
        <v>600</v>
      </c>
    </row>
    <row r="715" spans="1:35" ht="12.6" customHeight="1" x14ac:dyDescent="0.2">
      <c r="A715" s="961"/>
      <c r="B715" s="962" t="s">
        <v>554</v>
      </c>
      <c r="C715" s="963"/>
      <c r="D715" s="963"/>
      <c r="E715" s="963"/>
      <c r="F715" s="963"/>
      <c r="G715" s="964"/>
      <c r="H715" s="70">
        <v>1330</v>
      </c>
      <c r="I715" s="464">
        <f>+H715*$X$1</f>
        <v>1330</v>
      </c>
      <c r="J715" s="70">
        <v>1200</v>
      </c>
      <c r="K715" s="465">
        <f>+J715*$X$1</f>
        <v>1200</v>
      </c>
      <c r="L715" s="603">
        <v>1050</v>
      </c>
      <c r="M715" s="352">
        <f>+L715*$X$1</f>
        <v>1050</v>
      </c>
      <c r="N715" s="603">
        <v>960</v>
      </c>
      <c r="O715" s="352">
        <f>+N715*$X$1</f>
        <v>960</v>
      </c>
      <c r="P715" s="603">
        <v>920</v>
      </c>
      <c r="Q715" s="352">
        <f>+P715*$X$1</f>
        <v>920</v>
      </c>
      <c r="R715" s="603">
        <v>890</v>
      </c>
      <c r="S715" s="352">
        <f>+R715*$X$1</f>
        <v>890</v>
      </c>
      <c r="T715" s="603">
        <v>870</v>
      </c>
      <c r="U715" s="352">
        <f>+T715*$X$1</f>
        <v>870</v>
      </c>
      <c r="V715" s="603">
        <v>850</v>
      </c>
      <c r="W715" s="352">
        <f>+V715*$X$1</f>
        <v>850</v>
      </c>
    </row>
    <row r="716" spans="1:35" ht="6" customHeight="1" x14ac:dyDescent="0.2">
      <c r="A716" s="199"/>
      <c r="B716" s="200"/>
      <c r="C716" s="200"/>
      <c r="D716" s="200"/>
      <c r="E716" s="200"/>
      <c r="F716" s="201"/>
      <c r="G716" s="201"/>
      <c r="H716" s="74"/>
      <c r="I716" s="202"/>
      <c r="J716" s="202"/>
      <c r="K716" s="202"/>
      <c r="L716" s="202"/>
      <c r="M716" s="202"/>
      <c r="N716" s="202"/>
      <c r="O716" s="202"/>
      <c r="P716" s="202"/>
      <c r="Q716" s="202"/>
      <c r="R716" s="202"/>
      <c r="S716" s="202"/>
      <c r="T716" s="202"/>
      <c r="U716" s="202"/>
      <c r="V716" s="74"/>
      <c r="W716" s="194"/>
      <c r="X716" s="193"/>
      <c r="Y716" s="193"/>
      <c r="Z716" s="193"/>
      <c r="AA716" s="193"/>
      <c r="AB716" s="203"/>
    </row>
    <row r="717" spans="1:35" ht="13.5" customHeight="1" x14ac:dyDescent="0.2">
      <c r="B717" s="1083" t="s">
        <v>497</v>
      </c>
      <c r="C717" s="1084"/>
      <c r="D717" s="1084"/>
      <c r="E717" s="1084"/>
      <c r="F717" s="1084"/>
      <c r="G717" s="1084"/>
      <c r="H717" s="1084"/>
      <c r="I717" s="1084"/>
      <c r="J717" s="1084"/>
      <c r="K717" s="68" t="s">
        <v>493</v>
      </c>
      <c r="L717" s="69">
        <v>30</v>
      </c>
      <c r="M717" s="349">
        <f>+L717*$X$1</f>
        <v>30</v>
      </c>
      <c r="N717" s="67"/>
      <c r="O717" s="68" t="s">
        <v>494</v>
      </c>
      <c r="P717" s="69">
        <v>28</v>
      </c>
      <c r="Q717" s="349">
        <f>+P717*$X$1</f>
        <v>28</v>
      </c>
      <c r="R717" s="45"/>
      <c r="S717" s="45"/>
      <c r="T717" s="45"/>
      <c r="U717" s="45"/>
      <c r="V717" s="45"/>
      <c r="W717" s="45"/>
    </row>
    <row r="718" spans="1:35" ht="12.6" customHeight="1" x14ac:dyDescent="0.2">
      <c r="B718" s="48"/>
      <c r="C718" s="168"/>
      <c r="D718" s="168"/>
      <c r="E718" s="168"/>
      <c r="F718" s="168"/>
      <c r="G718" s="168"/>
      <c r="H718" s="168"/>
      <c r="I718" s="168"/>
      <c r="J718" s="168"/>
      <c r="K718" s="49"/>
      <c r="L718" s="50"/>
      <c r="M718" s="51"/>
      <c r="N718" s="45"/>
      <c r="O718" s="49"/>
      <c r="P718" s="50"/>
      <c r="Q718" s="51"/>
      <c r="R718" s="45"/>
      <c r="S718" s="45"/>
      <c r="T718" s="45"/>
      <c r="U718" s="45"/>
      <c r="V718" s="45"/>
      <c r="W718" s="45"/>
    </row>
    <row r="719" spans="1:35" ht="12.6" customHeight="1" x14ac:dyDescent="0.2">
      <c r="B719" s="48"/>
      <c r="C719" s="168"/>
      <c r="D719" s="168"/>
      <c r="E719" s="168"/>
      <c r="F719" s="168"/>
      <c r="G719" s="168"/>
      <c r="H719" s="168"/>
      <c r="I719" s="168"/>
      <c r="J719" s="168"/>
      <c r="K719" s="49"/>
      <c r="L719" s="50"/>
      <c r="M719" s="51"/>
      <c r="N719" s="45"/>
      <c r="O719" s="49"/>
      <c r="P719" s="50"/>
      <c r="Q719" s="51"/>
      <c r="R719" s="45"/>
      <c r="S719" s="45"/>
      <c r="T719" s="45"/>
      <c r="U719" s="45"/>
      <c r="V719" s="45"/>
      <c r="W719" s="45"/>
    </row>
    <row r="720" spans="1:35" ht="12.6" customHeight="1" x14ac:dyDescent="0.2">
      <c r="B720" s="48"/>
      <c r="C720" s="168"/>
      <c r="D720" s="168"/>
      <c r="E720" s="168"/>
      <c r="F720" s="168"/>
      <c r="G720" s="168"/>
      <c r="H720" s="168"/>
      <c r="I720" s="168"/>
      <c r="J720" s="168"/>
      <c r="K720" s="49"/>
      <c r="L720" s="50"/>
      <c r="M720" s="51"/>
      <c r="N720" s="45"/>
      <c r="O720" s="49"/>
      <c r="P720" s="50"/>
      <c r="Q720" s="51"/>
      <c r="R720" s="45"/>
      <c r="S720" s="45"/>
      <c r="T720" s="45"/>
      <c r="U720" s="45"/>
      <c r="V720" s="45"/>
      <c r="W720" s="45"/>
    </row>
    <row r="721" spans="2:34" ht="12.6" customHeight="1" x14ac:dyDescent="0.2">
      <c r="B721" s="48"/>
      <c r="C721" s="168"/>
      <c r="D721" s="168"/>
      <c r="E721" s="168"/>
      <c r="F721" s="168"/>
      <c r="G721" s="168"/>
      <c r="H721" s="168"/>
      <c r="I721" s="168"/>
      <c r="J721" s="168"/>
      <c r="K721" s="49"/>
      <c r="L721" s="50"/>
      <c r="M721" s="51"/>
      <c r="N721" s="45"/>
      <c r="O721" s="49"/>
      <c r="P721" s="50"/>
      <c r="Q721" s="51"/>
      <c r="R721" s="45"/>
      <c r="S721" s="45"/>
      <c r="T721" s="45"/>
      <c r="U721" s="45"/>
      <c r="V721" s="45"/>
      <c r="W721" s="45"/>
    </row>
    <row r="722" spans="2:34" x14ac:dyDescent="0.2">
      <c r="B722" s="3"/>
      <c r="C722" s="1081" t="s">
        <v>305</v>
      </c>
      <c r="D722" s="1082"/>
      <c r="E722" s="1082"/>
      <c r="F722" s="1082"/>
      <c r="G722" s="1082"/>
      <c r="H722" s="1082"/>
      <c r="I722" s="1082"/>
      <c r="J722" s="4"/>
      <c r="K722" s="4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7"/>
      <c r="W722" s="7"/>
    </row>
    <row r="723" spans="2:34" ht="12.6" customHeight="1" x14ac:dyDescent="0.2">
      <c r="B723" s="3"/>
      <c r="C723" s="1076" t="s">
        <v>306</v>
      </c>
      <c r="D723" s="1077"/>
      <c r="E723" s="1077"/>
      <c r="F723" s="1077"/>
      <c r="G723" s="1078"/>
      <c r="H723" s="411"/>
      <c r="I723" s="408"/>
      <c r="J723" s="4"/>
      <c r="K723" s="4"/>
      <c r="L723" s="36"/>
      <c r="M723" s="3"/>
      <c r="N723" s="3"/>
      <c r="O723" s="3"/>
      <c r="P723" s="3"/>
      <c r="Q723" s="3"/>
      <c r="R723" s="3"/>
      <c r="S723" s="3"/>
      <c r="T723" s="3"/>
      <c r="U723" s="3"/>
      <c r="V723" s="7"/>
      <c r="W723" s="7"/>
    </row>
    <row r="724" spans="2:34" ht="12.6" customHeight="1" x14ac:dyDescent="0.2">
      <c r="B724" s="3"/>
      <c r="C724" s="1091" t="s">
        <v>307</v>
      </c>
      <c r="D724" s="1092"/>
      <c r="E724" s="1092"/>
      <c r="F724" s="1092"/>
      <c r="G724" s="1093"/>
      <c r="H724" s="40"/>
      <c r="I724" s="412"/>
      <c r="J724" s="4"/>
      <c r="K724" s="4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7"/>
      <c r="W724" s="7"/>
    </row>
    <row r="725" spans="2:34" ht="12.6" customHeight="1" x14ac:dyDescent="0.2">
      <c r="B725" s="3"/>
      <c r="C725" s="1091" t="s">
        <v>308</v>
      </c>
      <c r="D725" s="1092"/>
      <c r="E725" s="1092"/>
      <c r="F725" s="1092"/>
      <c r="G725" s="1093"/>
      <c r="H725" s="42"/>
      <c r="I725" s="348"/>
      <c r="J725" s="4"/>
      <c r="K725" s="4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7"/>
      <c r="W725" s="7"/>
    </row>
    <row r="726" spans="2:34" ht="15.95" customHeight="1" x14ac:dyDescent="0.2">
      <c r="B726" s="3"/>
      <c r="C726" s="1132" t="s">
        <v>551</v>
      </c>
      <c r="D726" s="1133"/>
      <c r="E726" s="1133"/>
      <c r="F726" s="1133"/>
      <c r="G726" s="1133"/>
      <c r="H726" s="1134"/>
      <c r="I726" s="1135"/>
      <c r="J726" s="4"/>
      <c r="K726" s="4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7"/>
      <c r="W726" s="7"/>
    </row>
    <row r="727" spans="2:34" ht="15.75" customHeight="1" x14ac:dyDescent="0.2">
      <c r="B727" s="3"/>
      <c r="C727" s="871"/>
      <c r="D727" s="872"/>
      <c r="E727" s="872"/>
      <c r="F727" s="872"/>
      <c r="G727" s="872"/>
      <c r="H727" s="1136"/>
      <c r="I727" s="1137"/>
      <c r="J727" s="4"/>
      <c r="K727" s="4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7"/>
      <c r="W727" s="7"/>
    </row>
    <row r="728" spans="2:34" ht="12.6" customHeight="1" thickBot="1" x14ac:dyDescent="0.25">
      <c r="B728" s="4"/>
      <c r="C728" s="47"/>
      <c r="D728" s="47"/>
      <c r="E728" s="47"/>
      <c r="F728" s="47"/>
      <c r="G728" s="47"/>
      <c r="H728" s="41"/>
      <c r="I728" s="329"/>
      <c r="J728" s="4"/>
      <c r="K728" s="4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7"/>
      <c r="W728" s="7"/>
    </row>
    <row r="729" spans="2:34" ht="13.5" customHeight="1" x14ac:dyDescent="0.2">
      <c r="B729" s="1149" t="s">
        <v>810</v>
      </c>
      <c r="C729" s="1150"/>
      <c r="D729" s="1150"/>
      <c r="E729" s="1150"/>
      <c r="F729" s="1150"/>
      <c r="G729" s="1150"/>
      <c r="H729" s="1150"/>
      <c r="I729" s="1150"/>
      <c r="J729" s="1150"/>
      <c r="K729" s="1150"/>
      <c r="L729" s="1150"/>
      <c r="M729" s="1150"/>
      <c r="N729" s="1150"/>
      <c r="O729" s="1150"/>
      <c r="P729" s="1150"/>
      <c r="Q729" s="1150"/>
      <c r="R729" s="1150"/>
      <c r="S729" s="1150"/>
      <c r="T729" s="1150"/>
      <c r="U729" s="1150"/>
      <c r="V729" s="1150"/>
      <c r="W729" s="1151"/>
    </row>
    <row r="730" spans="2:34" ht="13.5" customHeight="1" x14ac:dyDescent="0.2">
      <c r="B730" s="1152"/>
      <c r="C730" s="1153"/>
      <c r="D730" s="1153"/>
      <c r="E730" s="1153"/>
      <c r="F730" s="1153"/>
      <c r="G730" s="1153"/>
      <c r="H730" s="1153"/>
      <c r="I730" s="1153"/>
      <c r="J730" s="1153"/>
      <c r="K730" s="1153"/>
      <c r="L730" s="1153"/>
      <c r="M730" s="1153"/>
      <c r="N730" s="1153"/>
      <c r="O730" s="1153"/>
      <c r="P730" s="1153"/>
      <c r="Q730" s="1153"/>
      <c r="R730" s="1153"/>
      <c r="S730" s="1153"/>
      <c r="T730" s="1153"/>
      <c r="U730" s="1153"/>
      <c r="V730" s="1153"/>
      <c r="W730" s="1154"/>
    </row>
    <row r="731" spans="2:34" ht="13.5" customHeight="1" thickBot="1" x14ac:dyDescent="0.25">
      <c r="B731" s="1155"/>
      <c r="C731" s="1156"/>
      <c r="D731" s="1156"/>
      <c r="E731" s="1156"/>
      <c r="F731" s="1156"/>
      <c r="G731" s="1156"/>
      <c r="H731" s="1156"/>
      <c r="I731" s="1156"/>
      <c r="J731" s="1156"/>
      <c r="K731" s="1156"/>
      <c r="L731" s="1156"/>
      <c r="M731" s="1156"/>
      <c r="N731" s="1156"/>
      <c r="O731" s="1156"/>
      <c r="P731" s="1156"/>
      <c r="Q731" s="1156"/>
      <c r="R731" s="1156"/>
      <c r="S731" s="1156"/>
      <c r="T731" s="1156"/>
      <c r="U731" s="1156"/>
      <c r="V731" s="1156"/>
      <c r="W731" s="1157"/>
    </row>
    <row r="732" spans="2:34" ht="12.6" customHeight="1" x14ac:dyDescent="0.2">
      <c r="B732" s="4"/>
      <c r="C732" s="39"/>
      <c r="D732" s="39"/>
      <c r="E732" s="39"/>
      <c r="F732" s="39"/>
      <c r="G732" s="39"/>
      <c r="H732" s="41"/>
      <c r="I732" s="41"/>
      <c r="J732" s="4"/>
      <c r="K732" s="4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7"/>
      <c r="W732" s="7"/>
    </row>
    <row r="733" spans="2:34" ht="23.25" customHeight="1" x14ac:dyDescent="0.2">
      <c r="B733" s="3"/>
      <c r="C733" s="1121" t="s">
        <v>645</v>
      </c>
      <c r="D733" s="1122"/>
      <c r="E733" s="1122"/>
      <c r="F733" s="1122"/>
      <c r="G733" s="1122"/>
      <c r="H733" s="1122"/>
      <c r="I733" s="112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AF733" s="674" t="s">
        <v>3</v>
      </c>
      <c r="AG733" s="675"/>
      <c r="AH733" s="675"/>
    </row>
    <row r="734" spans="2:34" ht="12.95" customHeight="1" x14ac:dyDescent="0.2">
      <c r="B734" s="3"/>
      <c r="C734" s="1138"/>
      <c r="D734" s="1139"/>
      <c r="E734" s="1139"/>
      <c r="F734" s="1139"/>
      <c r="G734" s="1139"/>
      <c r="H734" s="1139"/>
      <c r="I734" s="1140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7"/>
      <c r="W734" s="7"/>
    </row>
    <row r="735" spans="2:34" ht="12.95" customHeight="1" x14ac:dyDescent="0.2">
      <c r="B735" s="3"/>
      <c r="C735" s="1141"/>
      <c r="D735" s="1142"/>
      <c r="E735" s="1142"/>
      <c r="F735" s="1142"/>
      <c r="G735" s="1142"/>
      <c r="H735" s="1142"/>
      <c r="I735" s="114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7"/>
      <c r="W735" s="7"/>
    </row>
    <row r="736" spans="2:34" ht="12.95" customHeight="1" x14ac:dyDescent="0.2">
      <c r="B736" s="3"/>
      <c r="C736" s="1141"/>
      <c r="D736" s="1142"/>
      <c r="E736" s="1142"/>
      <c r="F736" s="1142"/>
      <c r="G736" s="1142"/>
      <c r="H736" s="1142"/>
      <c r="I736" s="114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7"/>
      <c r="W736" s="7"/>
    </row>
    <row r="737" spans="2:34" ht="12.95" customHeight="1" x14ac:dyDescent="0.2">
      <c r="B737" s="3"/>
      <c r="C737" s="1141"/>
      <c r="D737" s="1142"/>
      <c r="E737" s="1142"/>
      <c r="F737" s="1142"/>
      <c r="G737" s="1142"/>
      <c r="H737" s="1142"/>
      <c r="I737" s="114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7"/>
      <c r="W737" s="7"/>
    </row>
    <row r="738" spans="2:34" ht="12.95" customHeight="1" x14ac:dyDescent="0.2">
      <c r="B738" s="3"/>
      <c r="C738" s="1141"/>
      <c r="D738" s="1142"/>
      <c r="E738" s="1142"/>
      <c r="F738" s="1142"/>
      <c r="G738" s="1142"/>
      <c r="H738" s="1142"/>
      <c r="I738" s="114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7"/>
      <c r="W738" s="7"/>
    </row>
    <row r="739" spans="2:34" ht="12.95" customHeight="1" x14ac:dyDescent="0.2">
      <c r="B739" s="3"/>
      <c r="C739" s="1141"/>
      <c r="D739" s="1142"/>
      <c r="E739" s="1142"/>
      <c r="F739" s="1142"/>
      <c r="G739" s="1142"/>
      <c r="H739" s="1142"/>
      <c r="I739" s="114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7"/>
      <c r="W739" s="7"/>
    </row>
    <row r="740" spans="2:34" ht="10.5" customHeight="1" x14ac:dyDescent="0.2">
      <c r="B740" s="3"/>
      <c r="C740" s="1144"/>
      <c r="D740" s="1145"/>
      <c r="E740" s="1145"/>
      <c r="F740" s="1145"/>
      <c r="G740" s="1145"/>
      <c r="H740" s="1145"/>
      <c r="I740" s="1146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7"/>
      <c r="W740" s="7"/>
    </row>
    <row r="741" spans="2:34" ht="12.6" customHeight="1" x14ac:dyDescent="0.2">
      <c r="B741" s="3"/>
      <c r="C741" s="1124" t="s">
        <v>397</v>
      </c>
      <c r="D741" s="1124"/>
      <c r="E741" s="1125"/>
      <c r="F741" s="1125"/>
      <c r="G741" s="1126"/>
      <c r="H741" s="42">
        <v>1500</v>
      </c>
      <c r="I741" s="352">
        <f>+H741*$X$1</f>
        <v>1500</v>
      </c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7"/>
      <c r="W741" s="7"/>
    </row>
    <row r="742" spans="2:34" ht="12.6" customHeight="1" x14ac:dyDescent="0.2">
      <c r="B742" s="3"/>
      <c r="C742" s="1124" t="s">
        <v>646</v>
      </c>
      <c r="D742" s="1124"/>
      <c r="E742" s="1125"/>
      <c r="F742" s="1125"/>
      <c r="G742" s="1126"/>
      <c r="H742" s="42">
        <v>1400</v>
      </c>
      <c r="I742" s="352">
        <f>+H742*$X$1</f>
        <v>1400</v>
      </c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7"/>
      <c r="W742" s="7"/>
    </row>
    <row r="743" spans="2:34" ht="12.6" customHeight="1" x14ac:dyDescent="0.2">
      <c r="B743" s="3"/>
      <c r="C743" s="46"/>
      <c r="D743" s="44"/>
      <c r="E743" s="44"/>
      <c r="F743" s="44"/>
      <c r="G743" s="39"/>
      <c r="H743" s="41"/>
      <c r="I743" s="41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7"/>
      <c r="W743" s="7"/>
    </row>
    <row r="744" spans="2:34" ht="18" customHeight="1" x14ac:dyDescent="0.2">
      <c r="B744" s="1039" t="s">
        <v>552</v>
      </c>
      <c r="C744" s="1040"/>
      <c r="D744" s="1040"/>
      <c r="E744" s="1040"/>
      <c r="F744" s="1040"/>
      <c r="G744" s="1040"/>
      <c r="H744" s="1040"/>
      <c r="I744" s="1040"/>
      <c r="J744" s="1040"/>
      <c r="K744" s="1040"/>
      <c r="L744" s="1040"/>
      <c r="M744" s="1040"/>
      <c r="N744" s="1040"/>
      <c r="O744" s="1040"/>
      <c r="P744" s="1040"/>
      <c r="Q744" s="1040"/>
      <c r="R744" s="1040"/>
      <c r="S744" s="1040"/>
      <c r="T744" s="1040"/>
      <c r="U744" s="1040"/>
      <c r="V744" s="1040"/>
      <c r="W744" s="1041"/>
    </row>
    <row r="745" spans="2:34" ht="12.6" customHeight="1" x14ac:dyDescent="0.2">
      <c r="B745" s="26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</row>
    <row r="746" spans="2:34" ht="15.75" customHeight="1" x14ac:dyDescent="0.2">
      <c r="B746" s="1037" t="s">
        <v>309</v>
      </c>
      <c r="C746" s="1038"/>
      <c r="D746" s="1038"/>
      <c r="E746" s="1038"/>
      <c r="F746" s="1038"/>
      <c r="G746" s="1038"/>
      <c r="H746" s="1038"/>
      <c r="I746" s="1038"/>
      <c r="J746" s="1038"/>
      <c r="K746" s="1038"/>
      <c r="L746" s="1038"/>
      <c r="M746" s="1038"/>
      <c r="N746" s="1038"/>
      <c r="O746" s="1038"/>
      <c r="P746" s="1038"/>
      <c r="Q746" s="1038"/>
      <c r="R746" s="1038"/>
      <c r="S746" s="1038"/>
      <c r="T746" s="1038"/>
      <c r="U746" s="1038"/>
      <c r="V746" s="1038"/>
      <c r="W746" s="1038"/>
    </row>
    <row r="747" spans="2:34" ht="15.75" customHeight="1" x14ac:dyDescent="0.2">
      <c r="B747" s="1037" t="s">
        <v>310</v>
      </c>
      <c r="C747" s="1038"/>
      <c r="D747" s="1038"/>
      <c r="E747" s="1038"/>
      <c r="F747" s="1038"/>
      <c r="G747" s="1038"/>
      <c r="H747" s="1038"/>
      <c r="I747" s="1038"/>
      <c r="J747" s="1038"/>
      <c r="K747" s="1038"/>
      <c r="L747" s="1038"/>
      <c r="M747" s="1038"/>
      <c r="N747" s="1038"/>
      <c r="O747" s="1038"/>
      <c r="P747" s="1038"/>
      <c r="Q747" s="1038"/>
      <c r="R747" s="1038"/>
      <c r="S747" s="1038"/>
      <c r="T747" s="1038"/>
      <c r="U747" s="1038"/>
      <c r="V747" s="1038"/>
      <c r="W747" s="1038"/>
      <c r="AF747" s="674"/>
      <c r="AG747" s="675"/>
      <c r="AH747" s="675"/>
    </row>
    <row r="748" spans="2:34" ht="15.75" customHeight="1" x14ac:dyDescent="0.2">
      <c r="B748" s="1037" t="s">
        <v>311</v>
      </c>
      <c r="C748" s="1038"/>
      <c r="D748" s="1038"/>
      <c r="E748" s="1038"/>
      <c r="F748" s="1038"/>
      <c r="G748" s="1038"/>
      <c r="H748" s="1038"/>
      <c r="I748" s="1038"/>
      <c r="J748" s="1038"/>
      <c r="K748" s="1038"/>
      <c r="L748" s="1038"/>
      <c r="M748" s="1038"/>
      <c r="N748" s="1038"/>
      <c r="O748" s="1038"/>
      <c r="P748" s="1038"/>
      <c r="Q748" s="1038"/>
      <c r="R748" s="1038"/>
      <c r="S748" s="1038"/>
      <c r="T748" s="1038"/>
      <c r="U748" s="1038"/>
      <c r="V748" s="1038"/>
      <c r="W748" s="1038"/>
    </row>
    <row r="749" spans="2:34" ht="12.6" customHeight="1" x14ac:dyDescent="0.2">
      <c r="B749" s="11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</row>
    <row r="750" spans="2:34" ht="18" customHeight="1" thickBot="1" x14ac:dyDescent="0.25">
      <c r="B750" s="1071" t="s">
        <v>312</v>
      </c>
      <c r="C750" s="1072"/>
      <c r="D750" s="1072"/>
      <c r="E750" s="1072"/>
      <c r="F750" s="1072"/>
      <c r="G750" s="1072"/>
      <c r="H750" s="1072"/>
      <c r="I750" s="1072"/>
      <c r="J750" s="1072"/>
      <c r="K750" s="1072"/>
      <c r="L750" s="1072"/>
      <c r="M750" s="1072"/>
      <c r="N750" s="1072"/>
      <c r="O750" s="1072"/>
      <c r="P750" s="1072"/>
      <c r="Q750" s="1072"/>
      <c r="R750" s="1072"/>
      <c r="S750" s="1072"/>
      <c r="T750" s="1072"/>
      <c r="U750" s="1072"/>
      <c r="V750" s="1072"/>
      <c r="W750" s="1073"/>
    </row>
    <row r="751" spans="2:34" x14ac:dyDescent="0.2">
      <c r="B751" s="1060" t="s">
        <v>968</v>
      </c>
      <c r="C751" s="1061"/>
      <c r="D751" s="1061"/>
      <c r="E751" s="1061"/>
      <c r="F751" s="1061"/>
      <c r="G751" s="1061"/>
      <c r="H751" s="1061"/>
      <c r="I751" s="1061"/>
      <c r="J751" s="1061"/>
      <c r="K751" s="1061"/>
      <c r="L751" s="1061"/>
      <c r="M751" s="1061"/>
      <c r="N751" s="1062"/>
      <c r="O751" s="1062"/>
      <c r="P751" s="1062"/>
      <c r="Q751" s="1062"/>
      <c r="R751" s="1062"/>
      <c r="S751" s="1062"/>
      <c r="T751" s="1062"/>
      <c r="U751" s="1062"/>
      <c r="V751" s="1062"/>
      <c r="W751" s="1063"/>
    </row>
    <row r="752" spans="2:34" ht="12.75" customHeight="1" x14ac:dyDescent="0.2">
      <c r="B752" s="1064"/>
      <c r="C752" s="1061"/>
      <c r="D752" s="1061"/>
      <c r="E752" s="1061"/>
      <c r="F752" s="1061"/>
      <c r="G752" s="1061"/>
      <c r="H752" s="1061"/>
      <c r="I752" s="1061"/>
      <c r="J752" s="1061"/>
      <c r="K752" s="1061"/>
      <c r="L752" s="1061"/>
      <c r="M752" s="1061"/>
      <c r="N752" s="1062"/>
      <c r="O752" s="1062"/>
      <c r="P752" s="1062"/>
      <c r="Q752" s="1062"/>
      <c r="R752" s="1062"/>
      <c r="S752" s="1062"/>
      <c r="T752" s="1062"/>
      <c r="U752" s="1062"/>
      <c r="V752" s="1062"/>
      <c r="W752" s="1063"/>
    </row>
    <row r="753" spans="2:24" x14ac:dyDescent="0.2">
      <c r="B753" s="1064"/>
      <c r="C753" s="1061"/>
      <c r="D753" s="1061"/>
      <c r="E753" s="1061"/>
      <c r="F753" s="1061"/>
      <c r="G753" s="1061"/>
      <c r="H753" s="1061"/>
      <c r="I753" s="1061"/>
      <c r="J753" s="1061"/>
      <c r="K753" s="1061"/>
      <c r="L753" s="1061"/>
      <c r="M753" s="1061"/>
      <c r="N753" s="1062"/>
      <c r="O753" s="1062"/>
      <c r="P753" s="1062"/>
      <c r="Q753" s="1062"/>
      <c r="R753" s="1062"/>
      <c r="S753" s="1062"/>
      <c r="T753" s="1062"/>
      <c r="U753" s="1062"/>
      <c r="V753" s="1062"/>
      <c r="W753" s="1063"/>
    </row>
    <row r="754" spans="2:24" x14ac:dyDescent="0.2">
      <c r="B754" s="1065"/>
      <c r="C754" s="1066"/>
      <c r="D754" s="1066"/>
      <c r="E754" s="1066"/>
      <c r="F754" s="1066"/>
      <c r="G754" s="1066"/>
      <c r="H754" s="1066"/>
      <c r="I754" s="1066"/>
      <c r="J754" s="1066"/>
      <c r="K754" s="1066"/>
      <c r="L754" s="1066"/>
      <c r="M754" s="1066"/>
      <c r="N754" s="1067"/>
      <c r="O754" s="1067"/>
      <c r="P754" s="1067"/>
      <c r="Q754" s="1067"/>
      <c r="R754" s="1067"/>
      <c r="S754" s="1067"/>
      <c r="T754" s="1067"/>
      <c r="U754" s="1067"/>
      <c r="V754" s="1067"/>
      <c r="W754" s="1068"/>
    </row>
    <row r="755" spans="2:24" ht="12.6" customHeight="1" x14ac:dyDescent="0.2">
      <c r="B755" s="205"/>
      <c r="C755" s="205"/>
      <c r="D755" s="205"/>
      <c r="E755" s="205"/>
      <c r="F755" s="205"/>
      <c r="G755" s="205"/>
      <c r="H755" s="205"/>
      <c r="I755" s="205"/>
      <c r="J755" s="205"/>
      <c r="K755" s="205"/>
      <c r="L755" s="205"/>
      <c r="M755" s="206"/>
      <c r="N755" s="61"/>
      <c r="O755" s="61"/>
      <c r="P755" s="61"/>
      <c r="Q755" s="61"/>
      <c r="R755" s="61"/>
      <c r="S755" s="61"/>
      <c r="T755" s="61"/>
      <c r="U755" s="61"/>
      <c r="V755" s="61"/>
      <c r="W755" s="61"/>
    </row>
    <row r="756" spans="2:24" x14ac:dyDescent="0.2">
      <c r="B756" s="1069" t="s">
        <v>313</v>
      </c>
      <c r="C756" s="1070"/>
      <c r="D756" s="1070"/>
      <c r="E756" s="1070"/>
      <c r="F756" s="1070"/>
      <c r="G756" s="1070"/>
      <c r="H756" s="1070"/>
      <c r="I756" s="1070"/>
      <c r="J756" s="1070"/>
      <c r="K756" s="1070"/>
      <c r="L756" s="1070"/>
      <c r="M756" s="1070"/>
      <c r="N756" s="1070"/>
      <c r="O756" s="1070"/>
      <c r="P756" s="1070"/>
      <c r="Q756" s="1070"/>
      <c r="R756" s="1070"/>
      <c r="S756" s="1070"/>
      <c r="T756" s="1070"/>
      <c r="U756" s="1070"/>
      <c r="V756" s="1070"/>
      <c r="W756" s="1070"/>
    </row>
    <row r="757" spans="2:24" x14ac:dyDescent="0.2">
      <c r="B757" s="1070"/>
      <c r="C757" s="1070"/>
      <c r="D757" s="1070"/>
      <c r="E757" s="1070"/>
      <c r="F757" s="1070"/>
      <c r="G757" s="1070"/>
      <c r="H757" s="1070"/>
      <c r="I757" s="1070"/>
      <c r="J757" s="1070"/>
      <c r="K757" s="1070"/>
      <c r="L757" s="1070"/>
      <c r="M757" s="1070"/>
      <c r="N757" s="1070"/>
      <c r="O757" s="1070"/>
      <c r="P757" s="1070"/>
      <c r="Q757" s="1070"/>
      <c r="R757" s="1070"/>
      <c r="S757" s="1070"/>
      <c r="T757" s="1070"/>
      <c r="U757" s="1070"/>
      <c r="V757" s="1070"/>
      <c r="W757" s="1070"/>
    </row>
    <row r="758" spans="2:24" x14ac:dyDescent="0.2">
      <c r="B758" s="1059" t="s">
        <v>314</v>
      </c>
      <c r="C758" s="1038"/>
      <c r="D758" s="1038"/>
      <c r="E758" s="1038"/>
      <c r="F758" s="1038"/>
      <c r="G758" s="1038"/>
      <c r="H758" s="1038"/>
      <c r="I758" s="1038"/>
      <c r="J758" s="1038"/>
      <c r="K758" s="1038"/>
      <c r="L758" s="1038"/>
      <c r="M758" s="1038"/>
      <c r="N758" s="1038"/>
      <c r="O758" s="1038"/>
      <c r="P758" s="1038"/>
      <c r="Q758" s="1038"/>
      <c r="R758" s="1038"/>
      <c r="S758" s="1038"/>
      <c r="T758" s="1038"/>
      <c r="U758" s="1038"/>
      <c r="V758" s="1038"/>
      <c r="W758" s="1038"/>
    </row>
    <row r="759" spans="2:24" ht="14.25" customHeight="1" x14ac:dyDescent="0.2">
      <c r="B759" s="523"/>
      <c r="C759" s="522"/>
      <c r="D759" s="522"/>
      <c r="E759" s="522"/>
      <c r="F759" s="522"/>
      <c r="G759" s="522"/>
      <c r="H759" s="522"/>
      <c r="I759" s="522"/>
      <c r="J759" s="522"/>
      <c r="K759" s="522"/>
      <c r="L759" s="522"/>
      <c r="M759" s="522"/>
      <c r="N759" s="522"/>
      <c r="O759" s="522"/>
      <c r="P759" s="522"/>
      <c r="Q759" s="522"/>
      <c r="R759" s="522"/>
      <c r="S759" s="522"/>
      <c r="T759" s="522"/>
      <c r="U759" s="522"/>
      <c r="V759" s="522"/>
      <c r="W759" s="522"/>
    </row>
    <row r="760" spans="2:24" ht="16.5" customHeight="1" x14ac:dyDescent="0.2">
      <c r="B760" s="1058" t="s">
        <v>974</v>
      </c>
      <c r="C760" s="658"/>
      <c r="D760" s="658"/>
      <c r="E760" s="658"/>
      <c r="F760" s="658"/>
      <c r="G760" s="658"/>
      <c r="H760" s="658"/>
      <c r="I760" s="658"/>
      <c r="J760" s="658"/>
      <c r="K760" s="658"/>
      <c r="L760" s="658"/>
      <c r="M760" s="658"/>
      <c r="N760" s="658"/>
      <c r="O760" s="658"/>
      <c r="P760" s="658"/>
      <c r="Q760" s="658"/>
      <c r="R760" s="658"/>
      <c r="S760" s="658"/>
      <c r="T760" s="658"/>
      <c r="U760" s="658"/>
      <c r="V760" s="658"/>
      <c r="W760" s="658"/>
    </row>
    <row r="761" spans="2:24" ht="11.25" customHeight="1" x14ac:dyDescent="0.2">
      <c r="B761" s="229"/>
      <c r="C761" s="229"/>
      <c r="D761" s="229"/>
      <c r="E761" s="229"/>
      <c r="F761" s="229"/>
      <c r="G761" s="229"/>
      <c r="H761" s="229"/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64"/>
    </row>
    <row r="762" spans="2:24" ht="8.25" customHeight="1" x14ac:dyDescent="0.2">
      <c r="B762" s="1042" t="s">
        <v>967</v>
      </c>
      <c r="C762" s="1043"/>
      <c r="D762" s="1043"/>
      <c r="E762" s="1043"/>
      <c r="F762" s="1043"/>
      <c r="G762" s="1043"/>
      <c r="H762" s="1043"/>
      <c r="I762" s="1043"/>
      <c r="J762" s="1043"/>
      <c r="K762" s="1044"/>
      <c r="L762" s="1044"/>
      <c r="M762" s="1044"/>
      <c r="N762" s="1044"/>
      <c r="O762" s="1044"/>
      <c r="P762" s="1044"/>
      <c r="Q762" s="1044"/>
      <c r="R762" s="1044"/>
      <c r="S762" s="1044"/>
      <c r="T762" s="1044"/>
      <c r="U762" s="1044"/>
      <c r="V762" s="1044"/>
      <c r="W762" s="1045"/>
    </row>
    <row r="763" spans="2:24" ht="12.75" customHeight="1" x14ac:dyDescent="0.2">
      <c r="B763" s="1046"/>
      <c r="C763" s="1047"/>
      <c r="D763" s="1047"/>
      <c r="E763" s="1047"/>
      <c r="F763" s="1047"/>
      <c r="G763" s="1047"/>
      <c r="H763" s="1047"/>
      <c r="I763" s="1047"/>
      <c r="J763" s="1047"/>
      <c r="K763" s="1048"/>
      <c r="L763" s="1048"/>
      <c r="M763" s="1048"/>
      <c r="N763" s="1048"/>
      <c r="O763" s="1048"/>
      <c r="P763" s="1048"/>
      <c r="Q763" s="1048"/>
      <c r="R763" s="1048"/>
      <c r="S763" s="1048"/>
      <c r="T763" s="1048"/>
      <c r="U763" s="1048"/>
      <c r="V763" s="1048"/>
      <c r="W763" s="1049"/>
    </row>
    <row r="764" spans="2:24" x14ac:dyDescent="0.2">
      <c r="B764" s="1050"/>
      <c r="C764" s="1051"/>
      <c r="D764" s="1051"/>
      <c r="E764" s="1051"/>
      <c r="F764" s="1051"/>
      <c r="G764" s="1051"/>
      <c r="H764" s="1051"/>
      <c r="I764" s="1051"/>
      <c r="J764" s="1051"/>
      <c r="K764" s="1048"/>
      <c r="L764" s="1048"/>
      <c r="M764" s="1048"/>
      <c r="N764" s="1048"/>
      <c r="O764" s="1048"/>
      <c r="P764" s="1048"/>
      <c r="Q764" s="1048"/>
      <c r="R764" s="1048"/>
      <c r="S764" s="1048"/>
      <c r="T764" s="1048"/>
      <c r="U764" s="1048"/>
      <c r="V764" s="1048"/>
      <c r="W764" s="1049"/>
    </row>
    <row r="765" spans="2:24" x14ac:dyDescent="0.2">
      <c r="B765" s="1050"/>
      <c r="C765" s="1051"/>
      <c r="D765" s="1051"/>
      <c r="E765" s="1051"/>
      <c r="F765" s="1051"/>
      <c r="G765" s="1051"/>
      <c r="H765" s="1051"/>
      <c r="I765" s="1051"/>
      <c r="J765" s="1051"/>
      <c r="K765" s="1048"/>
      <c r="L765" s="1048"/>
      <c r="M765" s="1048"/>
      <c r="N765" s="1048"/>
      <c r="O765" s="1048"/>
      <c r="P765" s="1048"/>
      <c r="Q765" s="1048"/>
      <c r="R765" s="1048"/>
      <c r="S765" s="1048"/>
      <c r="T765" s="1048"/>
      <c r="U765" s="1048"/>
      <c r="V765" s="1048"/>
      <c r="W765" s="1049"/>
    </row>
    <row r="766" spans="2:24" x14ac:dyDescent="0.2">
      <c r="B766" s="1050"/>
      <c r="C766" s="1051"/>
      <c r="D766" s="1051"/>
      <c r="E766" s="1051"/>
      <c r="F766" s="1051"/>
      <c r="G766" s="1051"/>
      <c r="H766" s="1051"/>
      <c r="I766" s="1051"/>
      <c r="J766" s="1051"/>
      <c r="K766" s="1048"/>
      <c r="L766" s="1048"/>
      <c r="M766" s="1048"/>
      <c r="N766" s="1048"/>
      <c r="O766" s="1048"/>
      <c r="P766" s="1048"/>
      <c r="Q766" s="1048"/>
      <c r="R766" s="1048"/>
      <c r="S766" s="1048"/>
      <c r="T766" s="1048"/>
      <c r="U766" s="1048"/>
      <c r="V766" s="1048"/>
      <c r="W766" s="1049"/>
    </row>
    <row r="767" spans="2:24" x14ac:dyDescent="0.2">
      <c r="B767" s="1050"/>
      <c r="C767" s="1051"/>
      <c r="D767" s="1051"/>
      <c r="E767" s="1051"/>
      <c r="F767" s="1051"/>
      <c r="G767" s="1051"/>
      <c r="H767" s="1051"/>
      <c r="I767" s="1051"/>
      <c r="J767" s="1051"/>
      <c r="K767" s="1048"/>
      <c r="L767" s="1048"/>
      <c r="M767" s="1048"/>
      <c r="N767" s="1048"/>
      <c r="O767" s="1048"/>
      <c r="P767" s="1048"/>
      <c r="Q767" s="1048"/>
      <c r="R767" s="1048"/>
      <c r="S767" s="1048"/>
      <c r="T767" s="1048"/>
      <c r="U767" s="1048"/>
      <c r="V767" s="1048"/>
      <c r="W767" s="1049"/>
    </row>
    <row r="768" spans="2:24" x14ac:dyDescent="0.2">
      <c r="B768" s="1052"/>
      <c r="C768" s="1053"/>
      <c r="D768" s="1053"/>
      <c r="E768" s="1053"/>
      <c r="F768" s="1053"/>
      <c r="G768" s="1053"/>
      <c r="H768" s="1053"/>
      <c r="I768" s="1053"/>
      <c r="J768" s="1053"/>
      <c r="K768" s="1053"/>
      <c r="L768" s="1053"/>
      <c r="M768" s="1053"/>
      <c r="N768" s="1053"/>
      <c r="O768" s="1053"/>
      <c r="P768" s="1053"/>
      <c r="Q768" s="1053"/>
      <c r="R768" s="1053"/>
      <c r="S768" s="1053"/>
      <c r="T768" s="1053"/>
      <c r="U768" s="1053"/>
      <c r="V768" s="1053"/>
      <c r="W768" s="1054"/>
    </row>
    <row r="769" spans="2:23" ht="15" customHeight="1" x14ac:dyDescent="0.2">
      <c r="B769" s="1055"/>
      <c r="C769" s="1056"/>
      <c r="D769" s="1056"/>
      <c r="E769" s="1056"/>
      <c r="F769" s="1056"/>
      <c r="G769" s="1056"/>
      <c r="H769" s="1056"/>
      <c r="I769" s="1056"/>
      <c r="J769" s="1056"/>
      <c r="K769" s="1056"/>
      <c r="L769" s="1056"/>
      <c r="M769" s="1056"/>
      <c r="N769" s="1056"/>
      <c r="O769" s="1056"/>
      <c r="P769" s="1056"/>
      <c r="Q769" s="1056"/>
      <c r="R769" s="1056"/>
      <c r="S769" s="1056"/>
      <c r="T769" s="1056"/>
      <c r="U769" s="1056"/>
      <c r="V769" s="1056"/>
      <c r="W769" s="1057"/>
    </row>
    <row r="770" spans="2:23" ht="12.6" customHeight="1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7"/>
      <c r="W770" s="7"/>
    </row>
    <row r="771" spans="2:23" ht="18.75" customHeight="1" x14ac:dyDescent="0.2">
      <c r="B771" s="1034" t="s">
        <v>315</v>
      </c>
      <c r="C771" s="1035"/>
      <c r="D771" s="1035"/>
      <c r="E771" s="1035"/>
      <c r="F771" s="1035"/>
      <c r="G771" s="1035"/>
      <c r="H771" s="1035"/>
      <c r="I771" s="1035"/>
      <c r="J771" s="1035"/>
      <c r="K771" s="1035"/>
      <c r="L771" s="1035"/>
      <c r="M771" s="1035"/>
      <c r="N771" s="1035"/>
      <c r="O771" s="1035"/>
      <c r="P771" s="1035"/>
      <c r="Q771" s="1035"/>
      <c r="R771" s="1035"/>
      <c r="S771" s="1035"/>
      <c r="T771" s="1035"/>
      <c r="U771" s="1035"/>
      <c r="V771" s="1035"/>
      <c r="W771" s="1036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7"/>
      <c r="W772" s="7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"/>
      <c r="W782" s="7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23" ht="12.75" customHeight="1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"/>
      <c r="W785" s="7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"/>
      <c r="W786" s="7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"/>
      <c r="W795" s="7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7"/>
      <c r="W796" s="7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7"/>
      <c r="W797" s="7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7"/>
      <c r="W798" s="7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"/>
      <c r="W799" s="7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7"/>
      <c r="W800" s="7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7"/>
      <c r="W801" s="7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7"/>
      <c r="W802" s="7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7"/>
      <c r="W803" s="7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7"/>
      <c r="W804" s="7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7"/>
      <c r="W805" s="7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7"/>
      <c r="W806" s="7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7"/>
      <c r="W807" s="7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7"/>
      <c r="W808" s="7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7"/>
      <c r="W809" s="7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7"/>
      <c r="W810" s="7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7"/>
      <c r="W811" s="7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7"/>
      <c r="W812" s="7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7"/>
      <c r="W813" s="7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7"/>
      <c r="W814" s="7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"/>
      <c r="W815" s="7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"/>
      <c r="W816" s="7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"/>
      <c r="W817" s="7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"/>
      <c r="W818" s="7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"/>
      <c r="W819" s="7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"/>
      <c r="W820" s="7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"/>
      <c r="W822" s="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B1146" s="3"/>
      <c r="C1146" s="3"/>
      <c r="D1146" s="3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7"/>
      <c r="W1146" s="7"/>
    </row>
    <row r="1147" spans="2:23" x14ac:dyDescent="0.2">
      <c r="B1147" s="3"/>
      <c r="C1147" s="3"/>
      <c r="D1147" s="3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7"/>
      <c r="W1147" s="7"/>
    </row>
    <row r="1148" spans="2:23" x14ac:dyDescent="0.2">
      <c r="B1148" s="3"/>
      <c r="C1148" s="3"/>
      <c r="D1148" s="3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7"/>
      <c r="W1148" s="7"/>
    </row>
    <row r="1149" spans="2:23" x14ac:dyDescent="0.2">
      <c r="B1149" s="3"/>
      <c r="C1149" s="3"/>
      <c r="D1149" s="3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7"/>
      <c r="W1149" s="7"/>
    </row>
    <row r="1150" spans="2:23" x14ac:dyDescent="0.2">
      <c r="B1150" s="3"/>
      <c r="C1150" s="3"/>
      <c r="D1150" s="3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7"/>
      <c r="W1150" s="7"/>
    </row>
    <row r="1151" spans="2:23" x14ac:dyDescent="0.2">
      <c r="B1151" s="3"/>
      <c r="C1151" s="3"/>
      <c r="D1151" s="3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7"/>
      <c r="W1151" s="7"/>
    </row>
    <row r="1152" spans="2:23" x14ac:dyDescent="0.2">
      <c r="B1152" s="3"/>
      <c r="C1152" s="3"/>
      <c r="D1152" s="3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7"/>
      <c r="W1152" s="7"/>
    </row>
    <row r="1153" spans="2:23" x14ac:dyDescent="0.2">
      <c r="B1153" s="3"/>
      <c r="C1153" s="3"/>
      <c r="D1153" s="3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7"/>
      <c r="W1153" s="7"/>
    </row>
    <row r="1154" spans="2:23" x14ac:dyDescent="0.2">
      <c r="B1154" s="3"/>
      <c r="C1154" s="3"/>
      <c r="D1154" s="3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7"/>
      <c r="W1154" s="7"/>
    </row>
    <row r="1155" spans="2:23" x14ac:dyDescent="0.2">
      <c r="B1155" s="3"/>
      <c r="C1155" s="3"/>
      <c r="D1155" s="3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7"/>
      <c r="W1155" s="7"/>
    </row>
    <row r="1156" spans="2:23" x14ac:dyDescent="0.2">
      <c r="B1156" s="3"/>
      <c r="C1156" s="3"/>
      <c r="D1156" s="3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7"/>
      <c r="W1156" s="7"/>
    </row>
    <row r="1157" spans="2:23" x14ac:dyDescent="0.2">
      <c r="B1157" s="3"/>
      <c r="C1157" s="3"/>
      <c r="D1157" s="3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7"/>
      <c r="W1157" s="7"/>
    </row>
    <row r="1158" spans="2:23" x14ac:dyDescent="0.2">
      <c r="B1158" s="3"/>
      <c r="C1158" s="3"/>
      <c r="D1158" s="3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7"/>
      <c r="W1158" s="7"/>
    </row>
    <row r="1159" spans="2:23" x14ac:dyDescent="0.2">
      <c r="B1159" s="3"/>
      <c r="C1159" s="3"/>
      <c r="D1159" s="3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7"/>
      <c r="W1159" s="7"/>
    </row>
    <row r="1160" spans="2:23" x14ac:dyDescent="0.2">
      <c r="B1160" s="3"/>
      <c r="C1160" s="3"/>
      <c r="D1160" s="3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7"/>
      <c r="W1160" s="7"/>
    </row>
    <row r="1161" spans="2:23" x14ac:dyDescent="0.2">
      <c r="B1161" s="3"/>
      <c r="C1161" s="3"/>
      <c r="D1161" s="3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7"/>
      <c r="W1161" s="7"/>
    </row>
    <row r="1162" spans="2:23" x14ac:dyDescent="0.2">
      <c r="B1162" s="3"/>
      <c r="C1162" s="3"/>
      <c r="D1162" s="3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7"/>
      <c r="W1162" s="7"/>
    </row>
    <row r="1163" spans="2:23" x14ac:dyDescent="0.2">
      <c r="B1163" s="3"/>
      <c r="C1163" s="3"/>
      <c r="D1163" s="3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7"/>
      <c r="W1163" s="7"/>
    </row>
    <row r="1164" spans="2:23" x14ac:dyDescent="0.2">
      <c r="B1164" s="3"/>
      <c r="C1164" s="3"/>
      <c r="D1164" s="3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7"/>
      <c r="W1164" s="7"/>
    </row>
    <row r="1165" spans="2:23" x14ac:dyDescent="0.2">
      <c r="B1165" s="3"/>
      <c r="C1165" s="3"/>
      <c r="D1165" s="3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7"/>
      <c r="W1165" s="7"/>
    </row>
    <row r="1166" spans="2:23" x14ac:dyDescent="0.2">
      <c r="B1166" s="3"/>
      <c r="C1166" s="3"/>
      <c r="D1166" s="3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7"/>
      <c r="W1166" s="7"/>
    </row>
    <row r="1167" spans="2:23" x14ac:dyDescent="0.2">
      <c r="B1167" s="3"/>
      <c r="C1167" s="3"/>
      <c r="D1167" s="3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7"/>
      <c r="W1167" s="7"/>
    </row>
    <row r="1168" spans="2:23" x14ac:dyDescent="0.2">
      <c r="B1168" s="3"/>
      <c r="C1168" s="3"/>
      <c r="D1168" s="3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7"/>
      <c r="W1168" s="7"/>
    </row>
    <row r="1169" spans="2:23" x14ac:dyDescent="0.2">
      <c r="B1169" s="3"/>
      <c r="C1169" s="3"/>
      <c r="D1169" s="3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7"/>
      <c r="W1169" s="7"/>
    </row>
    <row r="1170" spans="2:23" x14ac:dyDescent="0.2">
      <c r="B1170" s="3"/>
      <c r="C1170" s="3"/>
      <c r="D1170" s="3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7"/>
      <c r="W1170" s="7"/>
    </row>
    <row r="1171" spans="2:23" x14ac:dyDescent="0.2">
      <c r="B1171" s="3"/>
      <c r="C1171" s="3"/>
      <c r="D1171" s="3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7"/>
      <c r="W1171" s="7"/>
    </row>
    <row r="1172" spans="2:23" x14ac:dyDescent="0.2">
      <c r="B1172" s="3"/>
      <c r="C1172" s="3"/>
      <c r="D1172" s="3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7"/>
      <c r="W1172" s="7"/>
    </row>
    <row r="1173" spans="2:23" x14ac:dyDescent="0.2">
      <c r="B1173" s="3"/>
      <c r="C1173" s="3"/>
      <c r="D1173" s="3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7"/>
      <c r="W1173" s="7"/>
    </row>
    <row r="1174" spans="2:23" x14ac:dyDescent="0.2">
      <c r="B1174" s="3"/>
      <c r="C1174" s="3"/>
      <c r="D1174" s="3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7"/>
      <c r="W1174" s="7"/>
    </row>
    <row r="1175" spans="2:23" x14ac:dyDescent="0.2">
      <c r="B1175" s="3"/>
      <c r="C1175" s="3"/>
      <c r="D1175" s="3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7"/>
      <c r="W1175" s="7"/>
    </row>
    <row r="1176" spans="2:23" x14ac:dyDescent="0.2">
      <c r="B1176" s="3"/>
      <c r="C1176" s="3"/>
      <c r="D1176" s="3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7"/>
      <c r="W1176" s="7"/>
    </row>
    <row r="1177" spans="2:23" x14ac:dyDescent="0.2">
      <c r="B1177" s="3"/>
      <c r="C1177" s="3"/>
      <c r="D1177" s="3"/>
      <c r="E1177" s="4"/>
      <c r="F1177" s="4"/>
      <c r="G1177" s="4"/>
      <c r="H1177" s="4"/>
      <c r="I1177" s="4"/>
      <c r="J1177" s="4"/>
      <c r="K1177" s="4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7"/>
      <c r="W1177" s="7"/>
    </row>
    <row r="1178" spans="2:23" x14ac:dyDescent="0.2">
      <c r="B1178" s="3"/>
      <c r="C1178" s="3"/>
      <c r="D1178" s="3"/>
      <c r="E1178" s="4"/>
      <c r="F1178" s="4"/>
      <c r="G1178" s="4"/>
      <c r="H1178" s="4"/>
      <c r="I1178" s="4"/>
      <c r="J1178" s="4"/>
      <c r="K1178" s="4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7"/>
      <c r="W1178" s="7"/>
    </row>
    <row r="1179" spans="2:23" x14ac:dyDescent="0.2">
      <c r="B1179" s="3"/>
      <c r="C1179" s="3"/>
      <c r="D1179" s="3"/>
      <c r="E1179" s="4"/>
      <c r="F1179" s="4"/>
      <c r="G1179" s="4"/>
      <c r="H1179" s="4"/>
      <c r="I1179" s="4"/>
      <c r="J1179" s="4"/>
      <c r="K1179" s="4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7"/>
      <c r="W1179" s="7"/>
    </row>
    <row r="1180" spans="2:23" x14ac:dyDescent="0.2">
      <c r="B1180" s="3"/>
      <c r="C1180" s="3"/>
      <c r="D1180" s="3"/>
      <c r="E1180" s="4"/>
      <c r="F1180" s="4"/>
      <c r="G1180" s="4"/>
      <c r="H1180" s="4"/>
      <c r="I1180" s="4"/>
      <c r="J1180" s="4"/>
      <c r="K1180" s="4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7"/>
      <c r="W1180" s="7"/>
    </row>
    <row r="1181" spans="2:23" x14ac:dyDescent="0.2">
      <c r="B1181" s="3"/>
      <c r="C1181" s="3"/>
      <c r="D1181" s="3"/>
      <c r="E1181" s="4"/>
      <c r="F1181" s="4"/>
      <c r="G1181" s="4"/>
      <c r="H1181" s="4"/>
      <c r="I1181" s="4"/>
      <c r="J1181" s="4"/>
      <c r="K1181" s="4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7"/>
      <c r="W1181" s="7"/>
    </row>
    <row r="1182" spans="2:23" x14ac:dyDescent="0.2">
      <c r="E1182" s="1"/>
      <c r="F1182" s="1"/>
      <c r="H1182" s="1"/>
      <c r="I1182" s="1"/>
      <c r="J1182" s="1"/>
      <c r="K1182" s="1"/>
    </row>
    <row r="1183" spans="2:23" x14ac:dyDescent="0.2">
      <c r="E1183" s="1"/>
      <c r="F1183" s="1"/>
      <c r="H1183" s="1"/>
      <c r="I1183" s="1"/>
      <c r="J1183" s="1"/>
      <c r="K1183" s="1"/>
    </row>
    <row r="1184" spans="2:23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  <row r="1561" spans="5:11" x14ac:dyDescent="0.2">
      <c r="E1561" s="1"/>
      <c r="F1561" s="1"/>
      <c r="H1561" s="1"/>
      <c r="I1561" s="1"/>
      <c r="J1561" s="1"/>
      <c r="K1561" s="1"/>
    </row>
    <row r="1562" spans="5:11" x14ac:dyDescent="0.2">
      <c r="E1562" s="1"/>
      <c r="F1562" s="1"/>
      <c r="H1562" s="1"/>
      <c r="I1562" s="1"/>
      <c r="J1562" s="1"/>
      <c r="K1562" s="1"/>
    </row>
    <row r="1563" spans="5:11" x14ac:dyDescent="0.2">
      <c r="E1563" s="1"/>
      <c r="F1563" s="1"/>
      <c r="H1563" s="1"/>
      <c r="I1563" s="1"/>
      <c r="J1563" s="1"/>
      <c r="K1563" s="1"/>
    </row>
    <row r="1564" spans="5:11" x14ac:dyDescent="0.2">
      <c r="E1564" s="1"/>
      <c r="F1564" s="1"/>
      <c r="H1564" s="1"/>
      <c r="I1564" s="1"/>
      <c r="J1564" s="1"/>
      <c r="K1564" s="1"/>
    </row>
    <row r="1565" spans="5:11" x14ac:dyDescent="0.2">
      <c r="E1565" s="1"/>
      <c r="F1565" s="1"/>
      <c r="H1565" s="1"/>
      <c r="I1565" s="1"/>
      <c r="J1565" s="1"/>
      <c r="K1565" s="1"/>
    </row>
    <row r="1566" spans="5:11" x14ac:dyDescent="0.2">
      <c r="E1566" s="1"/>
      <c r="F1566" s="1"/>
      <c r="H1566" s="1"/>
      <c r="I1566" s="1"/>
      <c r="J1566" s="1"/>
      <c r="K1566" s="1"/>
    </row>
    <row r="1567" spans="5:11" x14ac:dyDescent="0.2">
      <c r="E1567" s="1"/>
      <c r="F1567" s="1"/>
      <c r="H1567" s="1"/>
      <c r="I1567" s="1"/>
      <c r="J1567" s="1"/>
      <c r="K1567" s="1"/>
    </row>
    <row r="1568" spans="5:11" x14ac:dyDescent="0.2">
      <c r="E1568" s="1"/>
      <c r="F1568" s="1"/>
      <c r="H1568" s="1"/>
      <c r="I1568" s="1"/>
      <c r="J1568" s="1"/>
      <c r="K1568" s="1"/>
    </row>
    <row r="1569" spans="5:11" x14ac:dyDescent="0.2">
      <c r="E1569" s="1"/>
      <c r="F1569" s="1"/>
      <c r="H1569" s="1"/>
      <c r="I1569" s="1"/>
      <c r="J1569" s="1"/>
      <c r="K1569" s="1"/>
    </row>
    <row r="1570" spans="5:11" x14ac:dyDescent="0.2">
      <c r="E1570" s="1"/>
      <c r="F1570" s="1"/>
      <c r="H1570" s="1"/>
      <c r="I1570" s="1"/>
      <c r="J1570" s="1"/>
      <c r="K1570" s="1"/>
    </row>
    <row r="1571" spans="5:11" x14ac:dyDescent="0.2">
      <c r="E1571" s="1"/>
      <c r="F1571" s="1"/>
      <c r="H1571" s="1"/>
      <c r="I1571" s="1"/>
      <c r="J1571" s="1"/>
      <c r="K1571" s="1"/>
    </row>
    <row r="1572" spans="5:11" x14ac:dyDescent="0.2">
      <c r="E1572" s="1"/>
      <c r="F1572" s="1"/>
      <c r="H1572" s="1"/>
      <c r="I1572" s="1"/>
      <c r="J1572" s="1"/>
      <c r="K1572" s="1"/>
    </row>
    <row r="1573" spans="5:11" x14ac:dyDescent="0.2">
      <c r="E1573" s="1"/>
      <c r="F1573" s="1"/>
      <c r="H1573" s="1"/>
      <c r="I1573" s="1"/>
      <c r="J1573" s="1"/>
      <c r="K1573" s="1"/>
    </row>
    <row r="1574" spans="5:11" x14ac:dyDescent="0.2">
      <c r="E1574" s="1"/>
      <c r="F1574" s="1"/>
      <c r="H1574" s="1"/>
      <c r="I1574" s="1"/>
      <c r="J1574" s="1"/>
      <c r="K1574" s="1"/>
    </row>
    <row r="1575" spans="5:11" x14ac:dyDescent="0.2">
      <c r="E1575" s="1"/>
      <c r="F1575" s="1"/>
      <c r="H1575" s="1"/>
      <c r="I1575" s="1"/>
      <c r="J1575" s="1"/>
      <c r="K1575" s="1"/>
    </row>
    <row r="1576" spans="5:11" x14ac:dyDescent="0.2">
      <c r="E1576" s="1"/>
      <c r="F1576" s="1"/>
      <c r="H1576" s="1"/>
      <c r="I1576" s="1"/>
      <c r="J1576" s="1"/>
      <c r="K1576" s="1"/>
    </row>
    <row r="1577" spans="5:11" x14ac:dyDescent="0.2">
      <c r="E1577" s="1"/>
      <c r="F1577" s="1"/>
      <c r="H1577" s="1"/>
      <c r="I1577" s="1"/>
      <c r="J1577" s="1"/>
      <c r="K1577" s="1"/>
    </row>
    <row r="1578" spans="5:11" x14ac:dyDescent="0.2">
      <c r="E1578" s="1"/>
      <c r="F1578" s="1"/>
      <c r="H1578" s="1"/>
      <c r="I1578" s="1"/>
      <c r="J1578" s="1"/>
      <c r="K1578" s="1"/>
    </row>
    <row r="1579" spans="5:11" x14ac:dyDescent="0.2">
      <c r="E1579" s="1"/>
      <c r="F1579" s="1"/>
      <c r="H1579" s="1"/>
      <c r="I1579" s="1"/>
      <c r="J1579" s="1"/>
      <c r="K1579" s="1"/>
    </row>
    <row r="1580" spans="5:11" x14ac:dyDescent="0.2">
      <c r="E1580" s="1"/>
      <c r="F1580" s="1"/>
      <c r="H1580" s="1"/>
      <c r="I1580" s="1"/>
      <c r="J1580" s="1"/>
      <c r="K1580" s="1"/>
    </row>
    <row r="1581" spans="5:11" x14ac:dyDescent="0.2">
      <c r="E1581" s="1"/>
      <c r="F1581" s="1"/>
      <c r="H1581" s="1"/>
      <c r="I1581" s="1"/>
      <c r="J1581" s="1"/>
      <c r="K1581" s="1"/>
    </row>
    <row r="1582" spans="5:11" x14ac:dyDescent="0.2">
      <c r="E1582" s="1"/>
      <c r="F1582" s="1"/>
      <c r="H1582" s="1"/>
      <c r="I1582" s="1"/>
      <c r="J1582" s="1"/>
      <c r="K1582" s="1"/>
    </row>
    <row r="1583" spans="5:11" x14ac:dyDescent="0.2">
      <c r="E1583" s="1"/>
      <c r="F1583" s="1"/>
      <c r="H1583" s="1"/>
      <c r="I1583" s="1"/>
      <c r="J1583" s="1"/>
      <c r="K1583" s="1"/>
    </row>
    <row r="1584" spans="5:11" x14ac:dyDescent="0.2">
      <c r="E1584" s="1"/>
      <c r="F1584" s="1"/>
      <c r="H1584" s="1"/>
      <c r="I1584" s="1"/>
      <c r="J1584" s="1"/>
      <c r="K1584" s="1"/>
    </row>
    <row r="1585" spans="5:11" x14ac:dyDescent="0.2">
      <c r="E1585" s="1"/>
      <c r="F1585" s="1"/>
      <c r="H1585" s="1"/>
      <c r="I1585" s="1"/>
      <c r="J1585" s="1"/>
      <c r="K1585" s="1"/>
    </row>
    <row r="1586" spans="5:11" x14ac:dyDescent="0.2">
      <c r="E1586" s="1"/>
      <c r="F1586" s="1"/>
      <c r="H1586" s="1"/>
      <c r="I1586" s="1"/>
      <c r="J1586" s="1"/>
      <c r="K1586" s="1"/>
    </row>
    <row r="1587" spans="5:11" x14ac:dyDescent="0.2">
      <c r="E1587" s="1"/>
      <c r="F1587" s="1"/>
      <c r="H1587" s="1"/>
      <c r="I1587" s="1"/>
      <c r="J1587" s="1"/>
      <c r="K1587" s="1"/>
    </row>
    <row r="1588" spans="5:11" x14ac:dyDescent="0.2">
      <c r="E1588" s="1"/>
      <c r="F1588" s="1"/>
      <c r="H1588" s="1"/>
      <c r="I1588" s="1"/>
      <c r="J1588" s="1"/>
      <c r="K1588" s="1"/>
    </row>
    <row r="1589" spans="5:11" x14ac:dyDescent="0.2">
      <c r="E1589" s="1"/>
      <c r="F1589" s="1"/>
      <c r="H1589" s="1"/>
      <c r="I1589" s="1"/>
      <c r="J1589" s="1"/>
      <c r="K1589" s="1"/>
    </row>
    <row r="1590" spans="5:11" x14ac:dyDescent="0.2">
      <c r="E1590" s="1"/>
      <c r="F1590" s="1"/>
      <c r="H1590" s="1"/>
      <c r="I1590" s="1"/>
      <c r="J1590" s="1"/>
      <c r="K1590" s="1"/>
    </row>
    <row r="1591" spans="5:11" x14ac:dyDescent="0.2">
      <c r="E1591" s="1"/>
      <c r="F1591" s="1"/>
      <c r="H1591" s="1"/>
      <c r="I1591" s="1"/>
      <c r="J1591" s="1"/>
      <c r="K1591" s="1"/>
    </row>
    <row r="1592" spans="5:11" x14ac:dyDescent="0.2">
      <c r="E1592" s="1"/>
      <c r="F1592" s="1"/>
      <c r="H1592" s="1"/>
      <c r="I1592" s="1"/>
      <c r="J1592" s="1"/>
      <c r="K1592" s="1"/>
    </row>
    <row r="1593" spans="5:11" x14ac:dyDescent="0.2">
      <c r="E1593" s="1"/>
      <c r="F1593" s="1"/>
      <c r="H1593" s="1"/>
      <c r="I1593" s="1"/>
      <c r="J1593" s="1"/>
      <c r="K1593" s="1"/>
    </row>
    <row r="1594" spans="5:11" x14ac:dyDescent="0.2">
      <c r="E1594" s="1"/>
      <c r="F1594" s="1"/>
      <c r="H1594" s="1"/>
      <c r="I1594" s="1"/>
      <c r="J1594" s="1"/>
      <c r="K1594" s="1"/>
    </row>
    <row r="1595" spans="5:11" x14ac:dyDescent="0.2">
      <c r="E1595" s="1"/>
      <c r="F1595" s="1"/>
      <c r="H1595" s="1"/>
      <c r="I1595" s="1"/>
      <c r="J1595" s="1"/>
      <c r="K1595" s="1"/>
    </row>
    <row r="1596" spans="5:11" x14ac:dyDescent="0.2">
      <c r="E1596" s="1"/>
      <c r="F1596" s="1"/>
      <c r="H1596" s="1"/>
      <c r="I1596" s="1"/>
      <c r="J1596" s="1"/>
      <c r="K1596" s="1"/>
    </row>
  </sheetData>
  <mergeCells count="1155">
    <mergeCell ref="X490:AA490"/>
    <mergeCell ref="X502:AA502"/>
    <mergeCell ref="X306:AA306"/>
    <mergeCell ref="X324:AA324"/>
    <mergeCell ref="B421:E421"/>
    <mergeCell ref="X421:AA421"/>
    <mergeCell ref="B277:E277"/>
    <mergeCell ref="B369:E369"/>
    <mergeCell ref="B372:E372"/>
    <mergeCell ref="B222:E222"/>
    <mergeCell ref="B387:E387"/>
    <mergeCell ref="B388:E388"/>
    <mergeCell ref="G399:G400"/>
    <mergeCell ref="B481:E481"/>
    <mergeCell ref="X481:AA481"/>
    <mergeCell ref="B602:E602"/>
    <mergeCell ref="B420:E420"/>
    <mergeCell ref="B407:E407"/>
    <mergeCell ref="B393:E393"/>
    <mergeCell ref="B392:E392"/>
    <mergeCell ref="B395:E395"/>
    <mergeCell ref="X311:AA311"/>
    <mergeCell ref="B296:E296"/>
    <mergeCell ref="X285:AA285"/>
    <mergeCell ref="B350:E350"/>
    <mergeCell ref="B336:E336"/>
    <mergeCell ref="B346:E346"/>
    <mergeCell ref="B328:E328"/>
    <mergeCell ref="B355:E355"/>
    <mergeCell ref="B357:E357"/>
    <mergeCell ref="B340:E340"/>
    <mergeCell ref="B293:E293"/>
    <mergeCell ref="X384:AA384"/>
    <mergeCell ref="X385:AA385"/>
    <mergeCell ref="B281:E281"/>
    <mergeCell ref="B15:E15"/>
    <mergeCell ref="X15:AA15"/>
    <mergeCell ref="B406:E406"/>
    <mergeCell ref="B217:E217"/>
    <mergeCell ref="B278:E278"/>
    <mergeCell ref="B331:E331"/>
    <mergeCell ref="X239:AA240"/>
    <mergeCell ref="B335:E335"/>
    <mergeCell ref="X358:AA358"/>
    <mergeCell ref="B285:E285"/>
    <mergeCell ref="B308:E308"/>
    <mergeCell ref="B380:E380"/>
    <mergeCell ref="B401:E401"/>
    <mergeCell ref="B382:E382"/>
    <mergeCell ref="B390:E390"/>
    <mergeCell ref="B379:E379"/>
    <mergeCell ref="B295:E295"/>
    <mergeCell ref="B389:E389"/>
    <mergeCell ref="X387:AA387"/>
    <mergeCell ref="B345:E345"/>
    <mergeCell ref="B370:E370"/>
    <mergeCell ref="B338:E338"/>
    <mergeCell ref="B385:E385"/>
    <mergeCell ref="B310:E310"/>
    <mergeCell ref="B314:E314"/>
    <mergeCell ref="Q359:W359"/>
    <mergeCell ref="X323:AA323"/>
    <mergeCell ref="X300:AA300"/>
    <mergeCell ref="X310:AA310"/>
    <mergeCell ref="B494:E494"/>
    <mergeCell ref="X423:AA423"/>
    <mergeCell ref="B414:E414"/>
    <mergeCell ref="X386:AA386"/>
    <mergeCell ref="B383:E383"/>
    <mergeCell ref="X359:AA359"/>
    <mergeCell ref="B376:E376"/>
    <mergeCell ref="B429:E429"/>
    <mergeCell ref="X268:AA268"/>
    <mergeCell ref="X277:AA277"/>
    <mergeCell ref="X307:AA307"/>
    <mergeCell ref="X303:AA303"/>
    <mergeCell ref="B298:E298"/>
    <mergeCell ref="H399:W399"/>
    <mergeCell ref="C399:E400"/>
    <mergeCell ref="B403:E403"/>
    <mergeCell ref="X313:AA313"/>
    <mergeCell ref="B374:E374"/>
    <mergeCell ref="B343:E343"/>
    <mergeCell ref="B344:E344"/>
    <mergeCell ref="X312:AA312"/>
    <mergeCell ref="B347:E347"/>
    <mergeCell ref="B352:E352"/>
    <mergeCell ref="X321:AA321"/>
    <mergeCell ref="B342:E342"/>
    <mergeCell ref="B341:E341"/>
    <mergeCell ref="B299:E299"/>
    <mergeCell ref="B287:E287"/>
    <mergeCell ref="B366:E366"/>
    <mergeCell ref="B373:E373"/>
    <mergeCell ref="B302:E302"/>
    <mergeCell ref="B311:E311"/>
    <mergeCell ref="B675:E675"/>
    <mergeCell ref="B286:E286"/>
    <mergeCell ref="B322:E322"/>
    <mergeCell ref="B349:E349"/>
    <mergeCell ref="B358:E358"/>
    <mergeCell ref="B313:E313"/>
    <mergeCell ref="B375:E375"/>
    <mergeCell ref="B337:E337"/>
    <mergeCell ref="B360:E360"/>
    <mergeCell ref="B367:E367"/>
    <mergeCell ref="B356:E356"/>
    <mergeCell ref="B353:E353"/>
    <mergeCell ref="B327:E327"/>
    <mergeCell ref="B361:E361"/>
    <mergeCell ref="B364:E364"/>
    <mergeCell ref="B348:E348"/>
    <mergeCell ref="B305:E305"/>
    <mergeCell ref="B371:E371"/>
    <mergeCell ref="B378:E378"/>
    <mergeCell ref="B334:E334"/>
    <mergeCell ref="B306:E306"/>
    <mergeCell ref="B300:E300"/>
    <mergeCell ref="B362:E362"/>
    <mergeCell ref="B354:E354"/>
    <mergeCell ref="B363:E363"/>
    <mergeCell ref="B290:E290"/>
    <mergeCell ref="B554:G554"/>
    <mergeCell ref="B555:G555"/>
    <mergeCell ref="B456:E456"/>
    <mergeCell ref="B428:E428"/>
    <mergeCell ref="B442:E442"/>
    <mergeCell ref="X419:AA419"/>
    <mergeCell ref="B411:E411"/>
    <mergeCell ref="X425:AA425"/>
    <mergeCell ref="B447:E447"/>
    <mergeCell ref="B470:E470"/>
    <mergeCell ref="X399:AA400"/>
    <mergeCell ref="X388:AA388"/>
    <mergeCell ref="B464:E464"/>
    <mergeCell ref="X464:AA464"/>
    <mergeCell ref="B465:E465"/>
    <mergeCell ref="X465:AA465"/>
    <mergeCell ref="B466:E466"/>
    <mergeCell ref="X466:AA466"/>
    <mergeCell ref="B467:E467"/>
    <mergeCell ref="X467:AA467"/>
    <mergeCell ref="X443:AA443"/>
    <mergeCell ref="X463:AA463"/>
    <mergeCell ref="X440:AA440"/>
    <mergeCell ref="B394:E394"/>
    <mergeCell ref="B413:E413"/>
    <mergeCell ref="B412:E412"/>
    <mergeCell ref="X416:AA416"/>
    <mergeCell ref="X418:AA418"/>
    <mergeCell ref="B487:E487"/>
    <mergeCell ref="B474:E474"/>
    <mergeCell ref="B443:E443"/>
    <mergeCell ref="AF521:AH521"/>
    <mergeCell ref="H521:W521"/>
    <mergeCell ref="B520:W520"/>
    <mergeCell ref="B459:E459"/>
    <mergeCell ref="B490:E490"/>
    <mergeCell ref="B497:E497"/>
    <mergeCell ref="B496:E496"/>
    <mergeCell ref="B516:E516"/>
    <mergeCell ref="B499:E499"/>
    <mergeCell ref="B518:E518"/>
    <mergeCell ref="B503:E503"/>
    <mergeCell ref="B495:E495"/>
    <mergeCell ref="B517:E517"/>
    <mergeCell ref="X504:AA504"/>
    <mergeCell ref="X503:AA503"/>
    <mergeCell ref="B505:E505"/>
    <mergeCell ref="X501:AA501"/>
    <mergeCell ref="B510:E510"/>
    <mergeCell ref="B498:E498"/>
    <mergeCell ref="B486:E486"/>
    <mergeCell ref="B473:E473"/>
    <mergeCell ref="B484:E484"/>
    <mergeCell ref="B468:E468"/>
    <mergeCell ref="B472:E472"/>
    <mergeCell ref="X474:AA474"/>
    <mergeCell ref="B513:E513"/>
    <mergeCell ref="X513:AA513"/>
    <mergeCell ref="X518:AA518"/>
    <mergeCell ref="B463:E463"/>
    <mergeCell ref="X460:AA460"/>
    <mergeCell ref="B471:E471"/>
    <mergeCell ref="AF625:AH625"/>
    <mergeCell ref="X468:AA468"/>
    <mergeCell ref="B551:E551"/>
    <mergeCell ref="B552:E552"/>
    <mergeCell ref="B546:E546"/>
    <mergeCell ref="B613:E613"/>
    <mergeCell ref="C625:E626"/>
    <mergeCell ref="B575:E575"/>
    <mergeCell ref="B609:E609"/>
    <mergeCell ref="B529:E529"/>
    <mergeCell ref="X625:AA626"/>
    <mergeCell ref="B625:B626"/>
    <mergeCell ref="F625:F626"/>
    <mergeCell ref="B624:W624"/>
    <mergeCell ref="B610:E610"/>
    <mergeCell ref="B539:E539"/>
    <mergeCell ref="B548:E548"/>
    <mergeCell ref="B574:E574"/>
    <mergeCell ref="B596:E596"/>
    <mergeCell ref="B594:E594"/>
    <mergeCell ref="B620:E620"/>
    <mergeCell ref="B540:E540"/>
    <mergeCell ref="B485:E485"/>
    <mergeCell ref="AF624:AH624"/>
    <mergeCell ref="B525:E525"/>
    <mergeCell ref="B568:E568"/>
    <mergeCell ref="X521:AA522"/>
    <mergeCell ref="C521:E522"/>
    <mergeCell ref="B573:E573"/>
    <mergeCell ref="B488:E488"/>
    <mergeCell ref="AF520:AH520"/>
    <mergeCell ref="AB521:AB522"/>
    <mergeCell ref="AB625:AB626"/>
    <mergeCell ref="X691:AA691"/>
    <mergeCell ref="V710:V711"/>
    <mergeCell ref="B633:E633"/>
    <mergeCell ref="X692:AA692"/>
    <mergeCell ref="B682:E682"/>
    <mergeCell ref="B611:E611"/>
    <mergeCell ref="B580:E580"/>
    <mergeCell ref="B684:E684"/>
    <mergeCell ref="B581:E581"/>
    <mergeCell ref="C724:G724"/>
    <mergeCell ref="AF703:AH703"/>
    <mergeCell ref="B579:E579"/>
    <mergeCell ref="B576:E576"/>
    <mergeCell ref="B646:E646"/>
    <mergeCell ref="B689:E689"/>
    <mergeCell ref="B666:E666"/>
    <mergeCell ref="B595:E595"/>
    <mergeCell ref="B606:E606"/>
    <mergeCell ref="B614:E614"/>
    <mergeCell ref="B612:E612"/>
    <mergeCell ref="B600:E600"/>
    <mergeCell ref="B652:E652"/>
    <mergeCell ref="B638:E638"/>
    <mergeCell ref="B627:E627"/>
    <mergeCell ref="X682:AA682"/>
    <mergeCell ref="X687:AA687"/>
    <mergeCell ref="X670:AA670"/>
    <mergeCell ref="X683:AA683"/>
    <mergeCell ref="X679:AA679"/>
    <mergeCell ref="X688:AA688"/>
    <mergeCell ref="X672:AA672"/>
    <mergeCell ref="X681:AA681"/>
    <mergeCell ref="AF733:AH733"/>
    <mergeCell ref="B710:G711"/>
    <mergeCell ref="B729:W731"/>
    <mergeCell ref="T710:T711"/>
    <mergeCell ref="AB643:AB644"/>
    <mergeCell ref="B671:E671"/>
    <mergeCell ref="B674:E674"/>
    <mergeCell ref="H643:W643"/>
    <mergeCell ref="B654:E654"/>
    <mergeCell ref="Q710:Q711"/>
    <mergeCell ref="G643:G644"/>
    <mergeCell ref="X666:AA666"/>
    <mergeCell ref="X664:AA664"/>
    <mergeCell ref="X662:AA662"/>
    <mergeCell ref="X665:AA665"/>
    <mergeCell ref="AF643:AH643"/>
    <mergeCell ref="X643:AA644"/>
    <mergeCell ref="B681:E681"/>
    <mergeCell ref="B667:E667"/>
    <mergeCell ref="B669:E669"/>
    <mergeCell ref="B663:E663"/>
    <mergeCell ref="B664:E664"/>
    <mergeCell ref="B658:E658"/>
    <mergeCell ref="X668:AA668"/>
    <mergeCell ref="X667:AA667"/>
    <mergeCell ref="B661:E661"/>
    <mergeCell ref="B673:E673"/>
    <mergeCell ref="B668:E668"/>
    <mergeCell ref="X675:AA675"/>
    <mergeCell ref="X680:AA680"/>
    <mergeCell ref="B676:E676"/>
    <mergeCell ref="X658:AA658"/>
    <mergeCell ref="AF747:AH747"/>
    <mergeCell ref="O710:O711"/>
    <mergeCell ref="L710:L711"/>
    <mergeCell ref="P710:P711"/>
    <mergeCell ref="C733:I733"/>
    <mergeCell ref="C741:G741"/>
    <mergeCell ref="C742:G742"/>
    <mergeCell ref="M710:M711"/>
    <mergeCell ref="B701:E701"/>
    <mergeCell ref="B699:E699"/>
    <mergeCell ref="B709:W709"/>
    <mergeCell ref="B635:E635"/>
    <mergeCell ref="B686:E686"/>
    <mergeCell ref="B645:E645"/>
    <mergeCell ref="B642:W642"/>
    <mergeCell ref="B643:B644"/>
    <mergeCell ref="B653:E653"/>
    <mergeCell ref="B647:E647"/>
    <mergeCell ref="B685:E685"/>
    <mergeCell ref="J710:J711"/>
    <mergeCell ref="B712:G712"/>
    <mergeCell ref="C726:I727"/>
    <mergeCell ref="C734:I740"/>
    <mergeCell ref="X661:AA661"/>
    <mergeCell ref="B660:E660"/>
    <mergeCell ref="B659:E659"/>
    <mergeCell ref="B691:E691"/>
    <mergeCell ref="B692:E692"/>
    <mergeCell ref="B639:E639"/>
    <mergeCell ref="B665:E665"/>
    <mergeCell ref="B672:E672"/>
    <mergeCell ref="X659:AA659"/>
    <mergeCell ref="X669:AA669"/>
    <mergeCell ref="B569:E569"/>
    <mergeCell ref="B571:E571"/>
    <mergeCell ref="B648:E648"/>
    <mergeCell ref="B634:E634"/>
    <mergeCell ref="B597:E597"/>
    <mergeCell ref="B567:E567"/>
    <mergeCell ref="B607:E607"/>
    <mergeCell ref="B601:E601"/>
    <mergeCell ref="B608:E608"/>
    <mergeCell ref="B622:E622"/>
    <mergeCell ref="B617:E617"/>
    <mergeCell ref="B631:E631"/>
    <mergeCell ref="B629:E629"/>
    <mergeCell ref="B630:E630"/>
    <mergeCell ref="B577:E577"/>
    <mergeCell ref="B605:E605"/>
    <mergeCell ref="B604:E604"/>
    <mergeCell ref="X656:AA656"/>
    <mergeCell ref="B590:E590"/>
    <mergeCell ref="B628:E628"/>
    <mergeCell ref="B655:E655"/>
    <mergeCell ref="B650:E650"/>
    <mergeCell ref="B656:E656"/>
    <mergeCell ref="G625:G626"/>
    <mergeCell ref="B618:E618"/>
    <mergeCell ref="B598:E598"/>
    <mergeCell ref="B651:E651"/>
    <mergeCell ref="B649:E649"/>
    <mergeCell ref="B616:E616"/>
    <mergeCell ref="X517:AA517"/>
    <mergeCell ref="H625:W625"/>
    <mergeCell ref="B504:E504"/>
    <mergeCell ref="B531:E531"/>
    <mergeCell ref="B492:E492"/>
    <mergeCell ref="B533:E533"/>
    <mergeCell ref="B461:E461"/>
    <mergeCell ref="B297:E297"/>
    <mergeCell ref="B301:E301"/>
    <mergeCell ref="B619:E619"/>
    <mergeCell ref="B592:E592"/>
    <mergeCell ref="B586:E586"/>
    <mergeCell ref="B587:E587"/>
    <mergeCell ref="B589:E589"/>
    <mergeCell ref="B527:E527"/>
    <mergeCell ref="B583:E583"/>
    <mergeCell ref="B532:E532"/>
    <mergeCell ref="B537:E537"/>
    <mergeCell ref="B564:E564"/>
    <mergeCell ref="X461:AA461"/>
    <mergeCell ref="X500:AA500"/>
    <mergeCell ref="X516:AA516"/>
    <mergeCell ref="X515:AA515"/>
    <mergeCell ref="B528:E528"/>
    <mergeCell ref="B530:E530"/>
    <mergeCell ref="B449:E449"/>
    <mergeCell ref="X488:AA488"/>
    <mergeCell ref="X489:AA489"/>
    <mergeCell ref="B514:E514"/>
    <mergeCell ref="B566:E566"/>
    <mergeCell ref="I471:M473"/>
    <mergeCell ref="X514:AA514"/>
    <mergeCell ref="X452:AA452"/>
    <mergeCell ref="X491:AA491"/>
    <mergeCell ref="X505:AA505"/>
    <mergeCell ref="B457:E457"/>
    <mergeCell ref="X457:AA457"/>
    <mergeCell ref="X159:AA160"/>
    <mergeCell ref="B196:E196"/>
    <mergeCell ref="B186:E186"/>
    <mergeCell ref="X422:AA422"/>
    <mergeCell ref="B173:E173"/>
    <mergeCell ref="B168:E168"/>
    <mergeCell ref="B199:E199"/>
    <mergeCell ref="B433:E433"/>
    <mergeCell ref="B451:E451"/>
    <mergeCell ref="B441:E441"/>
    <mergeCell ref="B446:E446"/>
    <mergeCell ref="B448:E448"/>
    <mergeCell ref="X442:AA442"/>
    <mergeCell ref="X470:AA470"/>
    <mergeCell ref="X444:AA444"/>
    <mergeCell ref="B454:E454"/>
    <mergeCell ref="X449:AA449"/>
    <mergeCell ref="B435:E435"/>
    <mergeCell ref="X459:AA459"/>
    <mergeCell ref="G159:G160"/>
    <mergeCell ref="B483:E483"/>
    <mergeCell ref="B384:E384"/>
    <mergeCell ref="B410:E410"/>
    <mergeCell ref="B440:E440"/>
    <mergeCell ref="B462:E462"/>
    <mergeCell ref="X454:AA454"/>
    <mergeCell ref="X492:AA492"/>
    <mergeCell ref="X441:AA441"/>
    <mergeCell ref="X144:AA144"/>
    <mergeCell ref="X145:AA145"/>
    <mergeCell ref="B182:E182"/>
    <mergeCell ref="X195:AA195"/>
    <mergeCell ref="B208:E208"/>
    <mergeCell ref="B190:E190"/>
    <mergeCell ref="X184:AA184"/>
    <mergeCell ref="X181:AA181"/>
    <mergeCell ref="B197:E197"/>
    <mergeCell ref="F159:F160"/>
    <mergeCell ref="B159:B160"/>
    <mergeCell ref="B165:E165"/>
    <mergeCell ref="B170:E170"/>
    <mergeCell ref="X170:AA170"/>
    <mergeCell ref="B150:E150"/>
    <mergeCell ref="X163:AA163"/>
    <mergeCell ref="X162:AA162"/>
    <mergeCell ref="X173:AA173"/>
    <mergeCell ref="X179:AA179"/>
    <mergeCell ref="X168:AA168"/>
    <mergeCell ref="X193:AA193"/>
    <mergeCell ref="H159:W159"/>
    <mergeCell ref="C159:E160"/>
    <mergeCell ref="B154:E154"/>
    <mergeCell ref="X149:AA149"/>
    <mergeCell ref="B164:E164"/>
    <mergeCell ref="B151:E151"/>
    <mergeCell ref="B174:E174"/>
    <mergeCell ref="X174:AA174"/>
    <mergeCell ref="B189:E189"/>
    <mergeCell ref="B771:W771"/>
    <mergeCell ref="B746:W746"/>
    <mergeCell ref="B744:W744"/>
    <mergeCell ref="B762:W769"/>
    <mergeCell ref="B747:W747"/>
    <mergeCell ref="B760:W760"/>
    <mergeCell ref="B758:W758"/>
    <mergeCell ref="B751:W754"/>
    <mergeCell ref="B756:W757"/>
    <mergeCell ref="B750:W750"/>
    <mergeCell ref="B748:W748"/>
    <mergeCell ref="S710:S711"/>
    <mergeCell ref="C723:G723"/>
    <mergeCell ref="B693:E693"/>
    <mergeCell ref="N710:N711"/>
    <mergeCell ref="H710:H711"/>
    <mergeCell ref="B700:E700"/>
    <mergeCell ref="U710:U711"/>
    <mergeCell ref="C722:I722"/>
    <mergeCell ref="B717:J717"/>
    <mergeCell ref="W710:W711"/>
    <mergeCell ref="B706:G706"/>
    <mergeCell ref="B703:W703"/>
    <mergeCell ref="R710:R711"/>
    <mergeCell ref="C725:G725"/>
    <mergeCell ref="I710:I711"/>
    <mergeCell ref="K710:K711"/>
    <mergeCell ref="B705:G705"/>
    <mergeCell ref="B708:G708"/>
    <mergeCell ref="B697:E697"/>
    <mergeCell ref="B431:E431"/>
    <mergeCell ref="B632:E632"/>
    <mergeCell ref="B637:E637"/>
    <mergeCell ref="B662:E662"/>
    <mergeCell ref="B475:E475"/>
    <mergeCell ref="B460:E460"/>
    <mergeCell ref="G521:G522"/>
    <mergeCell ref="B536:E536"/>
    <mergeCell ref="B523:E523"/>
    <mergeCell ref="B591:E591"/>
    <mergeCell ref="B584:E584"/>
    <mergeCell ref="B588:E588"/>
    <mergeCell ref="B436:E436"/>
    <mergeCell ref="B426:E426"/>
    <mergeCell ref="B434:E434"/>
    <mergeCell ref="B507:E507"/>
    <mergeCell ref="B508:E508"/>
    <mergeCell ref="B506:E506"/>
    <mergeCell ref="B450:E450"/>
    <mergeCell ref="B432:E432"/>
    <mergeCell ref="B544:E544"/>
    <mergeCell ref="B427:E427"/>
    <mergeCell ref="B469:E469"/>
    <mergeCell ref="B570:E570"/>
    <mergeCell ref="B582:E582"/>
    <mergeCell ref="B562:E562"/>
    <mergeCell ref="B500:E500"/>
    <mergeCell ref="B521:B522"/>
    <mergeCell ref="B515:E515"/>
    <mergeCell ref="B511:E511"/>
    <mergeCell ref="B491:E491"/>
    <mergeCell ref="C643:E644"/>
    <mergeCell ref="B687:E687"/>
    <mergeCell ref="B670:E670"/>
    <mergeCell ref="B683:E683"/>
    <mergeCell ref="B688:E688"/>
    <mergeCell ref="B453:E453"/>
    <mergeCell ref="B541:E541"/>
    <mergeCell ref="B526:E526"/>
    <mergeCell ref="B524:E524"/>
    <mergeCell ref="B422:E422"/>
    <mergeCell ref="B423:E423"/>
    <mergeCell ref="B415:E415"/>
    <mergeCell ref="B479:B480"/>
    <mergeCell ref="C479:E480"/>
    <mergeCell ref="B690:E690"/>
    <mergeCell ref="B679:E679"/>
    <mergeCell ref="B678:E678"/>
    <mergeCell ref="X275:AA275"/>
    <mergeCell ref="B381:E381"/>
    <mergeCell ref="B386:E386"/>
    <mergeCell ref="B391:E391"/>
    <mergeCell ref="B402:E402"/>
    <mergeCell ref="X301:AA301"/>
    <mergeCell ref="B439:E439"/>
    <mergeCell ref="B332:E332"/>
    <mergeCell ref="B408:E408"/>
    <mergeCell ref="B416:E416"/>
    <mergeCell ref="B405:E405"/>
    <mergeCell ref="B534:E534"/>
    <mergeCell ref="B493:E493"/>
    <mergeCell ref="B489:E489"/>
    <mergeCell ref="B535:E535"/>
    <mergeCell ref="B501:E501"/>
    <mergeCell ref="B113:E113"/>
    <mergeCell ref="B115:E115"/>
    <mergeCell ref="G116:K116"/>
    <mergeCell ref="X134:AA134"/>
    <mergeCell ref="B153:E153"/>
    <mergeCell ref="B131:E131"/>
    <mergeCell ref="X131:AA131"/>
    <mergeCell ref="X121:AA121"/>
    <mergeCell ref="B276:E276"/>
    <mergeCell ref="X260:AA260"/>
    <mergeCell ref="B245:E245"/>
    <mergeCell ref="X254:AA254"/>
    <mergeCell ref="B258:E258"/>
    <mergeCell ref="X246:AA246"/>
    <mergeCell ref="X259:AA259"/>
    <mergeCell ref="X252:AA252"/>
    <mergeCell ref="I482:M487"/>
    <mergeCell ref="B438:E438"/>
    <mergeCell ref="B409:E409"/>
    <mergeCell ref="B425:E425"/>
    <mergeCell ref="B430:E430"/>
    <mergeCell ref="B452:E452"/>
    <mergeCell ref="B419:E419"/>
    <mergeCell ref="B482:E482"/>
    <mergeCell ref="F479:F480"/>
    <mergeCell ref="X299:AA299"/>
    <mergeCell ref="B303:E303"/>
    <mergeCell ref="F399:F400"/>
    <mergeCell ref="B309:E309"/>
    <mergeCell ref="B321:E321"/>
    <mergeCell ref="B307:E307"/>
    <mergeCell ref="X325:AA325"/>
    <mergeCell ref="X676:AA676"/>
    <mergeCell ref="X678:AA678"/>
    <mergeCell ref="B282:E282"/>
    <mergeCell ref="B294:E294"/>
    <mergeCell ref="B288:E288"/>
    <mergeCell ref="B315:E315"/>
    <mergeCell ref="B325:E325"/>
    <mergeCell ref="B326:E326"/>
    <mergeCell ref="X302:AA302"/>
    <mergeCell ref="X298:AA298"/>
    <mergeCell ref="X309:AA309"/>
    <mergeCell ref="X304:AA304"/>
    <mergeCell ref="X327:AA327"/>
    <mergeCell ref="B339:E339"/>
    <mergeCell ref="B333:E333"/>
    <mergeCell ref="B323:E323"/>
    <mergeCell ref="B330:E330"/>
    <mergeCell ref="B312:E312"/>
    <mergeCell ref="G479:G480"/>
    <mergeCell ref="X450:AA450"/>
    <mergeCell ref="X448:AA448"/>
    <mergeCell ref="X458:AA458"/>
    <mergeCell ref="B359:E359"/>
    <mergeCell ref="B324:E324"/>
    <mergeCell ref="X462:AA462"/>
    <mergeCell ref="X475:AA475"/>
    <mergeCell ref="X453:AA453"/>
    <mergeCell ref="X469:AA469"/>
    <mergeCell ref="B377:E377"/>
    <mergeCell ref="B399:B400"/>
    <mergeCell ref="B329:E329"/>
    <mergeCell ref="C319:E320"/>
    <mergeCell ref="X420:AA420"/>
    <mergeCell ref="B424:E424"/>
    <mergeCell ref="B445:E445"/>
    <mergeCell ref="B444:E444"/>
    <mergeCell ref="B417:E417"/>
    <mergeCell ref="B368:E368"/>
    <mergeCell ref="B351:E351"/>
    <mergeCell ref="X417:AA417"/>
    <mergeCell ref="B572:E572"/>
    <mergeCell ref="B553:E553"/>
    <mergeCell ref="B559:W559"/>
    <mergeCell ref="B585:E585"/>
    <mergeCell ref="B547:E547"/>
    <mergeCell ref="B538:E538"/>
    <mergeCell ref="B563:E563"/>
    <mergeCell ref="X172:AA172"/>
    <mergeCell ref="B177:E177"/>
    <mergeCell ref="B194:E194"/>
    <mergeCell ref="B184:E184"/>
    <mergeCell ref="B213:E213"/>
    <mergeCell ref="B219:E219"/>
    <mergeCell ref="H215:M215"/>
    <mergeCell ref="B230:E230"/>
    <mergeCell ref="B215:E215"/>
    <mergeCell ref="B212:E212"/>
    <mergeCell ref="B234:E234"/>
    <mergeCell ref="B218:E218"/>
    <mergeCell ref="B250:E250"/>
    <mergeCell ref="X250:AA250"/>
    <mergeCell ref="B304:E304"/>
    <mergeCell ref="X305:AA305"/>
    <mergeCell ref="B550:E550"/>
    <mergeCell ref="X677:AA677"/>
    <mergeCell ref="G319:G320"/>
    <mergeCell ref="F319:F320"/>
    <mergeCell ref="B283:E283"/>
    <mergeCell ref="B292:E292"/>
    <mergeCell ref="B291:E291"/>
    <mergeCell ref="X284:AA284"/>
    <mergeCell ref="X322:AA322"/>
    <mergeCell ref="A705:A715"/>
    <mergeCell ref="B713:G713"/>
    <mergeCell ref="B694:E694"/>
    <mergeCell ref="B714:G714"/>
    <mergeCell ref="B695:E695"/>
    <mergeCell ref="B698:E698"/>
    <mergeCell ref="B715:G715"/>
    <mergeCell ref="B704:G704"/>
    <mergeCell ref="B707:G707"/>
    <mergeCell ref="X426:AA426"/>
    <mergeCell ref="B458:E458"/>
    <mergeCell ref="B455:E455"/>
    <mergeCell ref="F521:F522"/>
    <mergeCell ref="B696:E696"/>
    <mergeCell ref="F643:F644"/>
    <mergeCell ref="B636:E636"/>
    <mergeCell ref="X326:AA326"/>
    <mergeCell ref="B657:E657"/>
    <mergeCell ref="X451:AA451"/>
    <mergeCell ref="B418:E418"/>
    <mergeCell ref="B437:E437"/>
    <mergeCell ref="X424:AA424"/>
    <mergeCell ref="B284:E284"/>
    <mergeCell ref="B680:E680"/>
    <mergeCell ref="X72:AA72"/>
    <mergeCell ref="X130:AA130"/>
    <mergeCell ref="X126:AA126"/>
    <mergeCell ref="X141:AA141"/>
    <mergeCell ref="X137:AA137"/>
    <mergeCell ref="X143:AA143"/>
    <mergeCell ref="X194:AA194"/>
    <mergeCell ref="B180:E180"/>
    <mergeCell ref="B144:E144"/>
    <mergeCell ref="B147:E147"/>
    <mergeCell ref="B179:E179"/>
    <mergeCell ref="X161:AA161"/>
    <mergeCell ref="B181:E181"/>
    <mergeCell ref="B192:E192"/>
    <mergeCell ref="B175:E175"/>
    <mergeCell ref="X175:AA175"/>
    <mergeCell ref="B143:E143"/>
    <mergeCell ref="B138:E138"/>
    <mergeCell ref="B84:E84"/>
    <mergeCell ref="X120:AA120"/>
    <mergeCell ref="X107:AA107"/>
    <mergeCell ref="G108:M108"/>
    <mergeCell ref="B124:E124"/>
    <mergeCell ref="X189:AA189"/>
    <mergeCell ref="X176:AA176"/>
    <mergeCell ref="H190:K195"/>
    <mergeCell ref="B172:E172"/>
    <mergeCell ref="X115:AA115"/>
    <mergeCell ref="B90:E90"/>
    <mergeCell ref="X139:AA139"/>
    <mergeCell ref="B72:E72"/>
    <mergeCell ref="X112:AA112"/>
    <mergeCell ref="X79:AA80"/>
    <mergeCell ref="X128:AA128"/>
    <mergeCell ref="B93:E93"/>
    <mergeCell ref="B106:E106"/>
    <mergeCell ref="B96:E96"/>
    <mergeCell ref="X106:AA106"/>
    <mergeCell ref="B98:E98"/>
    <mergeCell ref="O95:W95"/>
    <mergeCell ref="B100:E100"/>
    <mergeCell ref="X118:AA118"/>
    <mergeCell ref="B81:E81"/>
    <mergeCell ref="B86:E86"/>
    <mergeCell ref="X116:AA116"/>
    <mergeCell ref="B104:E104"/>
    <mergeCell ref="X127:AA127"/>
    <mergeCell ref="B117:E117"/>
    <mergeCell ref="B121:E121"/>
    <mergeCell ref="G122:K122"/>
    <mergeCell ref="G106:M106"/>
    <mergeCell ref="G107:M107"/>
    <mergeCell ref="B110:E110"/>
    <mergeCell ref="G110:M110"/>
    <mergeCell ref="X110:AA110"/>
    <mergeCell ref="B111:E111"/>
    <mergeCell ref="G111:M111"/>
    <mergeCell ref="X111:AA111"/>
    <mergeCell ref="B112:E112"/>
    <mergeCell ref="G112:M112"/>
    <mergeCell ref="B102:E102"/>
    <mergeCell ref="B114:E114"/>
    <mergeCell ref="B85:E85"/>
    <mergeCell ref="B99:E99"/>
    <mergeCell ref="B59:E59"/>
    <mergeCell ref="I69:M69"/>
    <mergeCell ref="I70:M70"/>
    <mergeCell ref="B69:E69"/>
    <mergeCell ref="B109:E109"/>
    <mergeCell ref="B145:E145"/>
    <mergeCell ref="X123:AA123"/>
    <mergeCell ref="B135:E135"/>
    <mergeCell ref="X135:AA135"/>
    <mergeCell ref="X133:AA133"/>
    <mergeCell ref="B91:E91"/>
    <mergeCell ref="B97:E97"/>
    <mergeCell ref="G109:M109"/>
    <mergeCell ref="B142:E142"/>
    <mergeCell ref="B83:E83"/>
    <mergeCell ref="B126:E126"/>
    <mergeCell ref="B129:E129"/>
    <mergeCell ref="B82:E82"/>
    <mergeCell ref="X83:Z83"/>
    <mergeCell ref="B108:E108"/>
    <mergeCell ref="B94:E94"/>
    <mergeCell ref="X108:AA108"/>
    <mergeCell ref="G118:K118"/>
    <mergeCell ref="X114:AA114"/>
    <mergeCell ref="B122:E122"/>
    <mergeCell ref="I114:W115"/>
    <mergeCell ref="B125:E125"/>
    <mergeCell ref="X88:Z88"/>
    <mergeCell ref="X129:AA129"/>
    <mergeCell ref="B119:E119"/>
    <mergeCell ref="X119:AA119"/>
    <mergeCell ref="B101:E101"/>
    <mergeCell ref="B10:E10"/>
    <mergeCell ref="B11:E11"/>
    <mergeCell ref="AB8:AB9"/>
    <mergeCell ref="C8:E9"/>
    <mergeCell ref="B23:E23"/>
    <mergeCell ref="B35:E35"/>
    <mergeCell ref="Q18:W18"/>
    <mergeCell ref="X34:AA34"/>
    <mergeCell ref="B25:E25"/>
    <mergeCell ref="X31:AA31"/>
    <mergeCell ref="B31:E31"/>
    <mergeCell ref="H38:K38"/>
    <mergeCell ref="X35:AA35"/>
    <mergeCell ref="G79:G80"/>
    <mergeCell ref="B54:E54"/>
    <mergeCell ref="X69:AA69"/>
    <mergeCell ref="B16:E16"/>
    <mergeCell ref="X37:AA37"/>
    <mergeCell ref="X33:AA33"/>
    <mergeCell ref="B57:E57"/>
    <mergeCell ref="X28:AA28"/>
    <mergeCell ref="H43:K43"/>
    <mergeCell ref="F79:F80"/>
    <mergeCell ref="X47:AA47"/>
    <mergeCell ref="X42:AA42"/>
    <mergeCell ref="H47:K47"/>
    <mergeCell ref="B41:E41"/>
    <mergeCell ref="X45:AA45"/>
    <mergeCell ref="X38:AA38"/>
    <mergeCell ref="X40:AA40"/>
    <mergeCell ref="C79:E80"/>
    <mergeCell ref="B73:E73"/>
    <mergeCell ref="B34:E34"/>
    <mergeCell ref="H35:K35"/>
    <mergeCell ref="X17:AA17"/>
    <mergeCell ref="Q17:W17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5:AD7"/>
    <mergeCell ref="E3:W3"/>
    <mergeCell ref="E4:W4"/>
    <mergeCell ref="B2:W2"/>
    <mergeCell ref="X14:AA14"/>
    <mergeCell ref="B7:W7"/>
    <mergeCell ref="AE5:AI7"/>
    <mergeCell ref="AF10:AH10"/>
    <mergeCell ref="X26:AA26"/>
    <mergeCell ref="B67:E67"/>
    <mergeCell ref="B62:E62"/>
    <mergeCell ref="B68:E68"/>
    <mergeCell ref="B12:E12"/>
    <mergeCell ref="B21:E21"/>
    <mergeCell ref="AF15:AI15"/>
    <mergeCell ref="AF20:AI20"/>
    <mergeCell ref="AF21:AJ21"/>
    <mergeCell ref="B14:E14"/>
    <mergeCell ref="B26:E26"/>
    <mergeCell ref="G8:G9"/>
    <mergeCell ref="X36:AA36"/>
    <mergeCell ref="X19:AA19"/>
    <mergeCell ref="B22:E22"/>
    <mergeCell ref="AF23:AI23"/>
    <mergeCell ref="AF22:AI22"/>
    <mergeCell ref="AF26:AJ26"/>
    <mergeCell ref="B28:E28"/>
    <mergeCell ref="B27:E27"/>
    <mergeCell ref="AF18:AJ18"/>
    <mergeCell ref="B19:E19"/>
    <mergeCell ref="AF16:AI16"/>
    <mergeCell ref="AF19:AJ19"/>
    <mergeCell ref="AF13:AH13"/>
    <mergeCell ref="B20:E20"/>
    <mergeCell ref="B17:E17"/>
    <mergeCell ref="B18:E18"/>
    <mergeCell ref="X20:AA20"/>
    <mergeCell ref="X21:AA21"/>
    <mergeCell ref="B36:E36"/>
    <mergeCell ref="B30:E30"/>
    <mergeCell ref="B63:E63"/>
    <mergeCell ref="B79:B80"/>
    <mergeCell ref="B88:E88"/>
    <mergeCell ref="B24:E24"/>
    <mergeCell ref="AF30:AJ30"/>
    <mergeCell ref="AF28:AJ28"/>
    <mergeCell ref="AF27:AI27"/>
    <mergeCell ref="AF24:AI24"/>
    <mergeCell ref="B40:E40"/>
    <mergeCell ref="B95:E95"/>
    <mergeCell ref="B29:E29"/>
    <mergeCell ref="B39:E39"/>
    <mergeCell ref="B42:E42"/>
    <mergeCell ref="B47:E47"/>
    <mergeCell ref="H31:K31"/>
    <mergeCell ref="B44:E44"/>
    <mergeCell ref="X43:AA43"/>
    <mergeCell ref="H41:K41"/>
    <mergeCell ref="B45:E45"/>
    <mergeCell ref="H45:K45"/>
    <mergeCell ref="X41:AA41"/>
    <mergeCell ref="H33:K33"/>
    <mergeCell ref="AF25:AI25"/>
    <mergeCell ref="H44:K44"/>
    <mergeCell ref="AB79:AB80"/>
    <mergeCell ref="B61:E61"/>
    <mergeCell ref="B52:E52"/>
    <mergeCell ref="B58:E58"/>
    <mergeCell ref="AF29:AJ29"/>
    <mergeCell ref="H46:K46"/>
    <mergeCell ref="H42:K42"/>
    <mergeCell ref="B43:E43"/>
    <mergeCell ref="H40:K40"/>
    <mergeCell ref="X44:AA44"/>
    <mergeCell ref="X39:AA39"/>
    <mergeCell ref="B46:E46"/>
    <mergeCell ref="B49:E49"/>
    <mergeCell ref="B128:E128"/>
    <mergeCell ref="B127:E127"/>
    <mergeCell ref="X109:AA109"/>
    <mergeCell ref="X122:AA122"/>
    <mergeCell ref="B123:E123"/>
    <mergeCell ref="B107:E107"/>
    <mergeCell ref="G121:K121"/>
    <mergeCell ref="G117:K117"/>
    <mergeCell ref="G124:K124"/>
    <mergeCell ref="G119:K119"/>
    <mergeCell ref="X32:AA32"/>
    <mergeCell ref="X46:AA46"/>
    <mergeCell ref="B37:E37"/>
    <mergeCell ref="H39:K39"/>
    <mergeCell ref="H37:K37"/>
    <mergeCell ref="B38:E38"/>
    <mergeCell ref="H34:K34"/>
    <mergeCell ref="H36:K36"/>
    <mergeCell ref="B32:E32"/>
    <mergeCell ref="B48:E48"/>
    <mergeCell ref="H48:K48"/>
    <mergeCell ref="X48:AA48"/>
    <mergeCell ref="B65:E65"/>
    <mergeCell ref="B118:E118"/>
    <mergeCell ref="B70:E70"/>
    <mergeCell ref="X87:Z87"/>
    <mergeCell ref="F81:I91"/>
    <mergeCell ref="AF79:AH79"/>
    <mergeCell ref="B33:E33"/>
    <mergeCell ref="H32:K32"/>
    <mergeCell ref="H79:W79"/>
    <mergeCell ref="G120:K120"/>
    <mergeCell ref="B103:E103"/>
    <mergeCell ref="B149:E149"/>
    <mergeCell ref="B130:E130"/>
    <mergeCell ref="B140:E140"/>
    <mergeCell ref="I72:K72"/>
    <mergeCell ref="B55:E55"/>
    <mergeCell ref="X70:AA70"/>
    <mergeCell ref="X117:AA117"/>
    <mergeCell ref="B116:E116"/>
    <mergeCell ref="B56:E56"/>
    <mergeCell ref="I71:M71"/>
    <mergeCell ref="B87:E87"/>
    <mergeCell ref="X84:Z84"/>
    <mergeCell ref="B51:E51"/>
    <mergeCell ref="B53:E53"/>
    <mergeCell ref="B71:E71"/>
    <mergeCell ref="B105:E105"/>
    <mergeCell ref="AC141:AF141"/>
    <mergeCell ref="G123:K123"/>
    <mergeCell ref="X136:AA136"/>
    <mergeCell ref="X138:AA138"/>
    <mergeCell ref="B137:E137"/>
    <mergeCell ref="X132:AA132"/>
    <mergeCell ref="B136:E136"/>
    <mergeCell ref="B139:E139"/>
    <mergeCell ref="B134:E134"/>
    <mergeCell ref="X125:AA125"/>
    <mergeCell ref="AB239:AB240"/>
    <mergeCell ref="B677:E677"/>
    <mergeCell ref="AB159:AB160"/>
    <mergeCell ref="B155:E155"/>
    <mergeCell ref="B141:E141"/>
    <mergeCell ref="B161:E161"/>
    <mergeCell ref="B225:E225"/>
    <mergeCell ref="B132:E132"/>
    <mergeCell ref="B50:E50"/>
    <mergeCell ref="X50:AA50"/>
    <mergeCell ref="B92:E92"/>
    <mergeCell ref="H50:K50"/>
    <mergeCell ref="X49:AA49"/>
    <mergeCell ref="B74:E74"/>
    <mergeCell ref="X71:AA71"/>
    <mergeCell ref="B120:E120"/>
    <mergeCell ref="B89:E89"/>
    <mergeCell ref="X74:AA74"/>
    <mergeCell ref="X124:AA124"/>
    <mergeCell ref="B133:E133"/>
    <mergeCell ref="G126:K126"/>
    <mergeCell ref="X148:AA148"/>
    <mergeCell ref="H49:K49"/>
    <mergeCell ref="B60:E60"/>
    <mergeCell ref="B64:E64"/>
    <mergeCell ref="B146:E146"/>
    <mergeCell ref="B152:E152"/>
    <mergeCell ref="B66:E66"/>
    <mergeCell ref="C239:E240"/>
    <mergeCell ref="H239:W239"/>
    <mergeCell ref="X242:AA242"/>
    <mergeCell ref="B272:E272"/>
    <mergeCell ref="AF159:AH159"/>
    <mergeCell ref="B203:E203"/>
    <mergeCell ref="G125:K125"/>
    <mergeCell ref="X191:AA191"/>
    <mergeCell ref="X147:AA147"/>
    <mergeCell ref="B148:E148"/>
    <mergeCell ref="B163:E163"/>
    <mergeCell ref="B195:E195"/>
    <mergeCell ref="B171:E171"/>
    <mergeCell ref="X171:AA171"/>
    <mergeCell ref="B178:E178"/>
    <mergeCell ref="X178:AA178"/>
    <mergeCell ref="B176:E176"/>
    <mergeCell ref="X146:AA146"/>
    <mergeCell ref="B191:E191"/>
    <mergeCell ref="B169:E169"/>
    <mergeCell ref="X169:AA169"/>
    <mergeCell ref="B166:E166"/>
    <mergeCell ref="B167:E167"/>
    <mergeCell ref="B162:E162"/>
    <mergeCell ref="B202:E202"/>
    <mergeCell ref="X190:AA190"/>
    <mergeCell ref="X142:AA142"/>
    <mergeCell ref="X140:AA140"/>
    <mergeCell ref="X164:AA164"/>
    <mergeCell ref="X165:AA165"/>
    <mergeCell ref="B200:E200"/>
    <mergeCell ref="X183:AA183"/>
    <mergeCell ref="X182:AA182"/>
    <mergeCell ref="B188:E188"/>
    <mergeCell ref="X192:AA192"/>
    <mergeCell ref="X273:AA273"/>
    <mergeCell ref="B269:E269"/>
    <mergeCell ref="B279:E279"/>
    <mergeCell ref="B280:E280"/>
    <mergeCell ref="X248:AA248"/>
    <mergeCell ref="B264:E264"/>
    <mergeCell ref="X264:AA264"/>
    <mergeCell ref="X280:AA280"/>
    <mergeCell ref="X281:AA281"/>
    <mergeCell ref="X261:AA261"/>
    <mergeCell ref="X267:AA267"/>
    <mergeCell ref="X269:AA269"/>
    <mergeCell ref="X271:AA271"/>
    <mergeCell ref="X274:AA274"/>
    <mergeCell ref="X265:AA265"/>
    <mergeCell ref="X266:AA266"/>
    <mergeCell ref="B275:E275"/>
    <mergeCell ref="X262:AA262"/>
    <mergeCell ref="B267:E267"/>
    <mergeCell ref="B201:E201"/>
    <mergeCell ref="B226:E226"/>
    <mergeCell ref="G239:G240"/>
    <mergeCell ref="B255:E255"/>
    <mergeCell ref="B206:E206"/>
    <mergeCell ref="B260:E260"/>
    <mergeCell ref="Q229:W229"/>
    <mergeCell ref="X257:AA257"/>
    <mergeCell ref="B268:E268"/>
    <mergeCell ref="B229:E229"/>
    <mergeCell ref="B231:E231"/>
    <mergeCell ref="B261:E261"/>
    <mergeCell ref="B249:E249"/>
    <mergeCell ref="X272:AA272"/>
    <mergeCell ref="B253:E253"/>
    <mergeCell ref="B224:E224"/>
    <mergeCell ref="B223:E223"/>
    <mergeCell ref="B220:E220"/>
    <mergeCell ref="B210:E210"/>
    <mergeCell ref="B262:E262"/>
    <mergeCell ref="B246:E246"/>
    <mergeCell ref="F239:F240"/>
    <mergeCell ref="B235:E235"/>
    <mergeCell ref="B233:E233"/>
    <mergeCell ref="X256:AA256"/>
    <mergeCell ref="X255:AA255"/>
    <mergeCell ref="X249:AA249"/>
    <mergeCell ref="B259:E259"/>
    <mergeCell ref="X253:AA253"/>
    <mergeCell ref="B565:E565"/>
    <mergeCell ref="B509:E509"/>
    <mergeCell ref="B512:E512"/>
    <mergeCell ref="B599:E599"/>
    <mergeCell ref="B615:E615"/>
    <mergeCell ref="B549:E549"/>
    <mergeCell ref="B542:E542"/>
    <mergeCell ref="X245:AA245"/>
    <mergeCell ref="B244:E244"/>
    <mergeCell ref="X244:AA244"/>
    <mergeCell ref="B198:E198"/>
    <mergeCell ref="B221:E221"/>
    <mergeCell ref="B243:E243"/>
    <mergeCell ref="B593:E593"/>
    <mergeCell ref="X276:AA276"/>
    <mergeCell ref="B207:E207"/>
    <mergeCell ref="B209:E209"/>
    <mergeCell ref="B257:E257"/>
    <mergeCell ref="B214:E214"/>
    <mergeCell ref="B204:E204"/>
    <mergeCell ref="B274:E274"/>
    <mergeCell ref="B254:E254"/>
    <mergeCell ref="B270:E270"/>
    <mergeCell ref="B265:E265"/>
    <mergeCell ref="X243:AA243"/>
    <mergeCell ref="B578:E578"/>
    <mergeCell ref="Q220:W220"/>
    <mergeCell ref="X258:AA258"/>
    <mergeCell ref="B232:E232"/>
    <mergeCell ref="B273:E273"/>
    <mergeCell ref="B251:E251"/>
    <mergeCell ref="X270:AA270"/>
    <mergeCell ref="AF479:AH479"/>
    <mergeCell ref="AF559:AH559"/>
    <mergeCell ref="B560:B561"/>
    <mergeCell ref="C560:E561"/>
    <mergeCell ref="F560:F561"/>
    <mergeCell ref="G560:G561"/>
    <mergeCell ref="H560:W560"/>
    <mergeCell ref="X560:AA561"/>
    <mergeCell ref="AB560:AB561"/>
    <mergeCell ref="AF560:AH560"/>
    <mergeCell ref="X479:AA480"/>
    <mergeCell ref="B603:E603"/>
    <mergeCell ref="B621:E621"/>
    <mergeCell ref="B545:E545"/>
    <mergeCell ref="H479:W479"/>
    <mergeCell ref="AB479:AB480"/>
    <mergeCell ref="G203:S208"/>
    <mergeCell ref="B227:E227"/>
    <mergeCell ref="B404:E404"/>
    <mergeCell ref="B502:E502"/>
    <mergeCell ref="B543:E543"/>
    <mergeCell ref="B228:E228"/>
    <mergeCell ref="B266:E266"/>
    <mergeCell ref="X278:AA278"/>
    <mergeCell ref="X247:AA247"/>
    <mergeCell ref="B252:E252"/>
    <mergeCell ref="B241:E241"/>
    <mergeCell ref="B239:B240"/>
    <mergeCell ref="F238:J238"/>
    <mergeCell ref="B242:E242"/>
    <mergeCell ref="B289:E289"/>
    <mergeCell ref="X289:AA289"/>
    <mergeCell ref="G113:M113"/>
    <mergeCell ref="X113:AA113"/>
    <mergeCell ref="AF17:AJ17"/>
    <mergeCell ref="X353:AA353"/>
    <mergeCell ref="B319:B320"/>
    <mergeCell ref="X352:AA352"/>
    <mergeCell ref="B248:E248"/>
    <mergeCell ref="H319:W319"/>
    <mergeCell ref="B185:E185"/>
    <mergeCell ref="I185:M188"/>
    <mergeCell ref="X167:AA167"/>
    <mergeCell ref="X251:AA251"/>
    <mergeCell ref="B256:E256"/>
    <mergeCell ref="B205:E205"/>
    <mergeCell ref="AF399:AH399"/>
    <mergeCell ref="AB399:AB400"/>
    <mergeCell ref="AF319:AH319"/>
    <mergeCell ref="AF239:AH239"/>
    <mergeCell ref="AB319:AB320"/>
    <mergeCell ref="X319:AA320"/>
    <mergeCell ref="X308:AA308"/>
    <mergeCell ref="B365:E365"/>
    <mergeCell ref="B271:E271"/>
    <mergeCell ref="B263:E263"/>
    <mergeCell ref="X263:AA263"/>
    <mergeCell ref="B187:E187"/>
    <mergeCell ref="B193:E193"/>
    <mergeCell ref="B183:E183"/>
    <mergeCell ref="B247:E247"/>
    <mergeCell ref="B216:E216"/>
    <mergeCell ref="B211:E211"/>
    <mergeCell ref="Q228:W228"/>
  </mergeCells>
  <phoneticPr fontId="0" type="noConversion"/>
  <hyperlinks>
    <hyperlink ref="AB12" r:id="rId1" display="https://www.jivi.com.ar/ficha.php?id=27"/>
    <hyperlink ref="AB28" r:id="rId2" display="https://www.jivi.com.ar/ficha.php?id=660"/>
    <hyperlink ref="AB35" r:id="rId3"/>
    <hyperlink ref="AB34" r:id="rId4"/>
    <hyperlink ref="AB33" r:id="rId5"/>
    <hyperlink ref="AB32" r:id="rId6"/>
    <hyperlink ref="AB31" r:id="rId7"/>
    <hyperlink ref="AB53" r:id="rId8" display="https://www.jivi.com.ar/ficha.php?id=41"/>
    <hyperlink ref="AB54" r:id="rId9" display="https://www.jivi.com.ar/ficha.php?id=42"/>
    <hyperlink ref="AB55" r:id="rId10" display="https://www.jivi.com.ar/ficha.php?id=649"/>
    <hyperlink ref="AB56" r:id="rId11" display="https://www.jivi.com.ar/ficha.php?id=650"/>
    <hyperlink ref="AB64" r:id="rId12" display="https://www.jivi.com.ar/ficha.php?id=164"/>
    <hyperlink ref="AB68" r:id="rId13" display="https://www.jivi.com.ar/ficha.php?id=77"/>
    <hyperlink ref="AB70" r:id="rId14"/>
    <hyperlink ref="AB72" r:id="rId15"/>
    <hyperlink ref="AB73" r:id="rId16"/>
    <hyperlink ref="AC81" r:id="rId17"/>
    <hyperlink ref="AD81" r:id="rId18"/>
    <hyperlink ref="AE81" r:id="rId19"/>
    <hyperlink ref="AF81" r:id="rId20"/>
    <hyperlink ref="AG81" r:id="rId21"/>
    <hyperlink ref="AC82" r:id="rId22"/>
    <hyperlink ref="AD82" r:id="rId23"/>
    <hyperlink ref="AE82" r:id="rId24"/>
    <hyperlink ref="AF82" r:id="rId25"/>
    <hyperlink ref="AG82" r:id="rId26"/>
    <hyperlink ref="AH82" r:id="rId27"/>
    <hyperlink ref="AC83" r:id="rId28"/>
    <hyperlink ref="AD83" r:id="rId29"/>
    <hyperlink ref="AE83" r:id="rId30"/>
    <hyperlink ref="AF83" r:id="rId31"/>
    <hyperlink ref="AH83" r:id="rId32"/>
    <hyperlink ref="AG83" r:id="rId33"/>
    <hyperlink ref="AC84" r:id="rId34"/>
    <hyperlink ref="AD84" r:id="rId35"/>
    <hyperlink ref="AE84" r:id="rId36"/>
    <hyperlink ref="AF84" r:id="rId37"/>
    <hyperlink ref="AC85" r:id="rId38"/>
    <hyperlink ref="AD85" r:id="rId39"/>
    <hyperlink ref="AE85" r:id="rId40"/>
    <hyperlink ref="AF85" r:id="rId41"/>
    <hyperlink ref="AG85" r:id="rId42"/>
    <hyperlink ref="AC86" r:id="rId43"/>
    <hyperlink ref="AD86" r:id="rId44"/>
    <hyperlink ref="AE86" r:id="rId45"/>
    <hyperlink ref="AC87" r:id="rId46"/>
    <hyperlink ref="AD87" r:id="rId47"/>
    <hyperlink ref="AE87" r:id="rId48"/>
    <hyperlink ref="AF87" r:id="rId49"/>
    <hyperlink ref="AG87" r:id="rId50"/>
    <hyperlink ref="AH87" r:id="rId51"/>
    <hyperlink ref="AB88" r:id="rId52"/>
    <hyperlink ref="AB89" r:id="rId53"/>
    <hyperlink ref="AB90" r:id="rId54"/>
    <hyperlink ref="AC91" r:id="rId55"/>
    <hyperlink ref="AD91" r:id="rId56"/>
    <hyperlink ref="AE91" r:id="rId57"/>
    <hyperlink ref="AF91" r:id="rId58"/>
    <hyperlink ref="AG91" r:id="rId59"/>
    <hyperlink ref="AB332" r:id="rId60" display="https://www.jivi.com.ar/ficha.php?id=187"/>
    <hyperlink ref="AB334" r:id="rId61" display="https://www.jivi.com.ar/ficha.php?id=4"/>
    <hyperlink ref="AB345" r:id="rId62" display="https://www.jivi.com.ar/ficha.php?id=55"/>
    <hyperlink ref="AB348" r:id="rId63" display="https://www.jivi.com.ar/ficha.php?id=209"/>
    <hyperlink ref="AB349" r:id="rId64"/>
    <hyperlink ref="AB357" r:id="rId65" display="https://www.jivi.com.ar/ficha.php?id=60"/>
    <hyperlink ref="AB359" r:id="rId66" display="https://www.jivi.com.ar/ficha.php?id=380"/>
    <hyperlink ref="AB363" r:id="rId67" display="https://www.jivi.com.ar/ficha.php?id=548"/>
    <hyperlink ref="AB364" r:id="rId68"/>
    <hyperlink ref="AB367" r:id="rId69" display="https://www.jivi.com.ar/ficha.php?id=719"/>
    <hyperlink ref="AB101" r:id="rId70" display="https://www.jivi.com.ar/ficha.php?id=326"/>
    <hyperlink ref="AB105" r:id="rId71" display="https://www.jivi.com.ar/ficha.php?id=134"/>
    <hyperlink ref="AB139" r:id="rId72" display="https://www.jivi.com.ar/ficha.php?id=394"/>
    <hyperlink ref="AB140" r:id="rId73" display="https://www.jivi.com.ar/ficha.php?id=145"/>
    <hyperlink ref="AB143" r:id="rId74" display="https://www.jivi.com.ar/ficha.php?id=18"/>
    <hyperlink ref="AB147" r:id="rId75" display="https://www.jivi.com.ar/ficha.php?id=19"/>
    <hyperlink ref="AB150" r:id="rId76" display="https://www.jivi.com.ar/ficha.php?id=142"/>
    <hyperlink ref="AB151" r:id="rId77" display="https://www.jivi.com.ar/ficha.php?id=392"/>
    <hyperlink ref="AB152" r:id="rId78" display="https://www.jivi.com.ar/ficha.php?id=393"/>
    <hyperlink ref="AB185" r:id="rId79" display="https://www.jivi.com.ar/ficha.php?id=135"/>
    <hyperlink ref="AB186" r:id="rId80" display="https://www.jivi.com.ar/ficha.php?id=136"/>
    <hyperlink ref="AB187" r:id="rId81" display="https://www.jivi.com.ar/ficha.php?id=137"/>
    <hyperlink ref="AB188" r:id="rId82" display="https://www.jivi.com.ar/ficha.php?id=138"/>
    <hyperlink ref="AB196" r:id="rId83" display="https://www.jivi.com.ar/ficha.php?id=245"/>
    <hyperlink ref="AB215" r:id="rId84" display="https://www.jivi.com.ar/ficha.php?id=166"/>
    <hyperlink ref="AB216" r:id="rId85" display="https://www.jivi.com.ar/ficha.php?id=171"/>
    <hyperlink ref="AB220" r:id="rId86" display="https://www.jivi.com.ar/ficha.php?id=168"/>
    <hyperlink ref="AB226" r:id="rId87" display="https://www.jivi.com.ar/ficha.php?id=169"/>
    <hyperlink ref="AB228" r:id="rId88" display="https://www.jivi.com.ar/ficha.php?id=148"/>
    <hyperlink ref="AB229" r:id="rId89" display="https://www.jivi.com.ar/ficha.php?id=158"/>
    <hyperlink ref="AB664" r:id="rId90" display="https://www.jivi.com.ar/ficha.php?id=621"/>
    <hyperlink ref="AB665" r:id="rId91" display="https://www.jivi.com.ar/ficha.php?id=622"/>
    <hyperlink ref="AB95" r:id="rId92" display="https://www.jivi.com.ar/ficha.php?id=456"/>
    <hyperlink ref="AB288" r:id="rId93" display="https://www.jivi.com.ar/ficha.php?id=246"/>
    <hyperlink ref="AB452" r:id="rId94" display="https://www.jivi.com.ar/ficha.php?id=431"/>
    <hyperlink ref="AB456" r:id="rId95" display="https://www.jivi.com.ar/ficha.php?id=728"/>
    <hyperlink ref="AB482" r:id="rId96"/>
    <hyperlink ref="AB484" r:id="rId97"/>
    <hyperlink ref="AB493" r:id="rId98"/>
    <hyperlink ref="AB495" r:id="rId99"/>
    <hyperlink ref="AB498" r:id="rId100"/>
    <hyperlink ref="AB499" r:id="rId101"/>
    <hyperlink ref="AB500" r:id="rId102"/>
    <hyperlink ref="AB502" r:id="rId103"/>
    <hyperlink ref="AB503" r:id="rId104"/>
    <hyperlink ref="AB505" r:id="rId105"/>
    <hyperlink ref="AB510" r:id="rId106"/>
    <hyperlink ref="AB511" r:id="rId107"/>
    <hyperlink ref="AB646" r:id="rId108"/>
    <hyperlink ref="AB652" r:id="rId109"/>
    <hyperlink ref="AB653" r:id="rId110"/>
    <hyperlink ref="AB97" r:id="rId111" display="https://www.jivi.com.ar/ficha.php?id=234"/>
    <hyperlink ref="AB339" r:id="rId112" display="https://www.jivi.com.ar/ficha.php?id=51"/>
    <hyperlink ref="AB350" r:id="rId113"/>
    <hyperlink ref="B7:V7" location="'Artículos Publicitarios'!A686" display="PARA IR A LOS RECARGOS POR IMPRESIONES ADICIONALES CLICK AQUÍ"/>
    <hyperlink ref="AB486" r:id="rId114"/>
    <hyperlink ref="AC51" r:id="rId115"/>
    <hyperlink ref="AD51" r:id="rId116"/>
    <hyperlink ref="AE51" r:id="rId117"/>
    <hyperlink ref="B7:W7" location="'Artículos Publicitarios'!A719" display="PARA IR A LOS RECARGOS POR IMPRESIONES ADICIONALES CLICK AQUÍ"/>
    <hyperlink ref="AB242" r:id="rId118" display="https://www.jivi.com.ar/ficha.php?id=840"/>
    <hyperlink ref="AE2:AF2" location="'Artículos Publicitarios'!A839" display="CLICK AQUÍ"/>
    <hyperlink ref="AE2" location="'Artículos Publicitarios'!A833" display="CLICK AQUÍ"/>
    <hyperlink ref="AB547" r:id="rId119" display="https://www.jivi.com.ar/ficha.php?id=846"/>
    <hyperlink ref="AB26" r:id="rId120" display="https://www.jivi.com.ar/ficha.php?id=848"/>
    <hyperlink ref="AB74" r:id="rId121"/>
    <hyperlink ref="AE2:AG2" location="'Artículos Publicitarios'!A780" display="CLICK AQUÍ"/>
    <hyperlink ref="B771:W771" location="'Artículos Publicitarios'!A3" display="PARA SUBIR AL PRINCIPIO DE LA LISTA CLICK AQUÍ"/>
    <hyperlink ref="AB282" r:id="rId122" display="https://www.jivi.com.ar/ficha.php?id=862"/>
    <hyperlink ref="AB44" r:id="rId123"/>
    <hyperlink ref="AB153" r:id="rId124" display="https://www.jivi.com.ar/ficha.php?id=882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668" r:id="rId125" display="https://www.jivi.com.ar/ficha.php?id=903"/>
    <hyperlink ref="AB21" r:id="rId126"/>
    <hyperlink ref="AB344" r:id="rId127" display="https://www.jivi.com.ar/ficha.php?id=916"/>
    <hyperlink ref="AB661" r:id="rId128" display="https://www.jivi.com.ar/ficha.php?id=918"/>
    <hyperlink ref="AB335" r:id="rId129" display="https://www.jivi.com.ar/ficha.php?id=926"/>
    <hyperlink ref="AB65" r:id="rId130"/>
    <hyperlink ref="AB474" r:id="rId131"/>
    <hyperlink ref="AB189" r:id="rId132" display="https://www.jivi.com.ar/ficha.php?id=948"/>
    <hyperlink ref="AB346" r:id="rId133" display="https://www.jivi.com.ar/ficha.php?id=954"/>
    <hyperlink ref="AB134" r:id="rId134"/>
    <hyperlink ref="AB136" r:id="rId135"/>
    <hyperlink ref="AB135" r:id="rId136"/>
    <hyperlink ref="AB487" r:id="rId137"/>
    <hyperlink ref="AB27" r:id="rId138"/>
    <hyperlink ref="AB340" r:id="rId139" display="https://www.jivi.com.ar/ficha.php?id=850"/>
    <hyperlink ref="AB137" r:id="rId140"/>
    <hyperlink ref="AB506" r:id="rId141"/>
    <hyperlink ref="AB507" r:id="rId142"/>
    <hyperlink ref="AB368" r:id="rId143" display="https://www.jivi.com.ar/ficha.php?id=1023"/>
    <hyperlink ref="AB336" r:id="rId144" display="https://www.jivi.com.ar/ficha.php?id=1025"/>
    <hyperlink ref="AF25" location="'Artículos Publicitarios'!A122" display="IR A PINES"/>
    <hyperlink ref="AB342" r:id="rId145" display="https://www.jivi.com.ar/ficha.php?id=647"/>
    <hyperlink ref="AB330" r:id="rId146" display="https://www.jivi.com.ar/ficha.php?id=1049"/>
    <hyperlink ref="AB203" r:id="rId147" display="https://www.jivi.com.ar/ficha.php?id=1059"/>
    <hyperlink ref="AB205" r:id="rId148" display="https://www.jivi.com.ar/ficha.php?id=1061"/>
    <hyperlink ref="AB206" r:id="rId149" display="https://www.jivi.com.ar/ficha.php?id=1062"/>
    <hyperlink ref="AB23" r:id="rId150" display="https://www.jivi.com.ar/ficha.php?id=364"/>
    <hyperlink ref="AF27:AI27" location="'Artículos Publicitarios'!A523" display="IR A GORROS"/>
    <hyperlink ref="AB25" r:id="rId151"/>
    <hyperlink ref="AB24" r:id="rId152"/>
    <hyperlink ref="AF23:AI23" location="'Artículos Publicitarios'!A644" display="IR A PROD. SUBLIMADOS"/>
    <hyperlink ref="AB355" r:id="rId153" display="https://www.jivi.com.ar/ficha.php?id=1095"/>
    <hyperlink ref="AB337" r:id="rId154" display="https://www.jivi.com.ar/ficha.php?id=1094"/>
    <hyperlink ref="AB333" r:id="rId155" display="https://www.jivi.com.ar/ficha.php?id=297"/>
    <hyperlink ref="AB374" r:id="rId156" display="https://www.jivi.com.ar/ficha.php?id=1097"/>
    <hyperlink ref="AB99" r:id="rId157" display="https://www.jivi.com.ar/ficha.php?id=1098"/>
    <hyperlink ref="AB20" r:id="rId158"/>
    <hyperlink ref="AB231" r:id="rId159"/>
    <hyperlink ref="AB328" r:id="rId160" display="https://www.jivi.com.ar/ficha.php?id=1108"/>
    <hyperlink ref="AB358" r:id="rId161" display="https://www.jivi.com.ar/ficha.php?id=1116"/>
    <hyperlink ref="AF643:AH643" location="'Artículos Publicitarios'!A3" display="IR A PAGINA 1"/>
    <hyperlink ref="AF25:AI25" location="'Artículos Publicitarios'!A91" display="IR A PINES"/>
    <hyperlink ref="AF24:AI24" location="'Artículos Publicitarios'!A165" display="IR A CARPITAS"/>
    <hyperlink ref="AF20:AI20" location="'Artículos Publicitarios'!A129" display="IR A CINTAS COLGANTES"/>
    <hyperlink ref="AF28:AI28" location="'Artículos Publicitarios'!A264" display="IR A PORTADOCUMENTOS"/>
    <hyperlink ref="AB182" r:id="rId162" display="https://www.jivi.com.ar/ficha.php?id=1119"/>
    <hyperlink ref="AB183" r:id="rId163"/>
    <hyperlink ref="AB656" r:id="rId164" display="https://www.jivi.com.ar/ficha.php?id=1154"/>
    <hyperlink ref="AB666" r:id="rId165" display="https://www.jivi.com.ar/ficha.php?id=1157"/>
    <hyperlink ref="AB667" r:id="rId166" display="https://www.jivi.com.ar/ficha.php?id=1158"/>
    <hyperlink ref="AB637" r:id="rId167" display="hhttps://www.jivi.com.ar/ficha.php?id=1155"/>
    <hyperlink ref="AB638" r:id="rId168" display="https://www.jivi.com.ar/ficha.php?id=1156"/>
    <hyperlink ref="AB338" r:id="rId169"/>
    <hyperlink ref="AB52" r:id="rId170" display="https://www.jivi.com.ar/ficha.php?id=1172"/>
    <hyperlink ref="AB341" r:id="rId171"/>
    <hyperlink ref="AB98" r:id="rId172"/>
    <hyperlink ref="AB122" r:id="rId173"/>
    <hyperlink ref="AB343" r:id="rId174" display="https://www.jivi.com.ar/ficha.php?id=915"/>
    <hyperlink ref="AB108" r:id="rId175" display="https://www.jivi.com.ar/ficha.php?id=1182"/>
    <hyperlink ref="AB121" r:id="rId176" display="https://www.jivi.com.ar/ficha.php?id=1183"/>
    <hyperlink ref="AB123" r:id="rId177"/>
    <hyperlink ref="AB347" r:id="rId178" display="https://www.jivi.com.ar/ficha.php?id=349"/>
    <hyperlink ref="AB417" r:id="rId179" display="https://www.jivi.com.ar/ficha.php?id=1190"/>
    <hyperlink ref="AB106" r:id="rId180" display="https://www.jivi.com.ar/ficha.php?id=1181"/>
    <hyperlink ref="AB353" r:id="rId181"/>
    <hyperlink ref="AB488" r:id="rId182"/>
    <hyperlink ref="AB420" r:id="rId183" display="https://www.jivi.com.ar/ficha.php?id=1219"/>
    <hyperlink ref="AB49" r:id="rId184"/>
    <hyperlink ref="AB48" r:id="rId185"/>
    <hyperlink ref="AB50" r:id="rId186"/>
    <hyperlink ref="AB669" r:id="rId187" display="https://www.jivi.com.ar/ficha.php?id=904"/>
    <hyperlink ref="AB59" r:id="rId188"/>
    <hyperlink ref="AB448" r:id="rId189" display="https://www.jivi.com.ar/ficha.php?id=1225"/>
    <hyperlink ref="AB43" r:id="rId190"/>
    <hyperlink ref="AB662" r:id="rId191" display="https://www.jivi.com.ar/ficha.php?id=919"/>
    <hyperlink ref="AB204" r:id="rId192" display="https://www.jivi.com.ar/ficha.php?id=1060"/>
    <hyperlink ref="AB42" r:id="rId193"/>
    <hyperlink ref="AB154" r:id="rId194" display="https://www.jivi.com.ar/ficha.php?id=883"/>
    <hyperlink ref="AB515" r:id="rId195"/>
    <hyperlink ref="AB127" r:id="rId196" display="https://jivi.com.ar/ficha.php?id=89"/>
    <hyperlink ref="AB549" r:id="rId197" display="https://www.jivi.com.ar/ficha.php?id=1248"/>
    <hyperlink ref="AB356" r:id="rId198" display="https://www.jivi.com.ar/ficha.php?id=1253"/>
    <hyperlink ref="AB283" r:id="rId199" display="https://www.jivi.com.ar/ficha.php?id=1124"/>
    <hyperlink ref="AB155" r:id="rId200" display="https://www.jivi.com.ar/ficha.php?id=1261"/>
    <hyperlink ref="AB388" r:id="rId201" display="https://www.jivi.com.ar/ficha.php?id=1267"/>
    <hyperlink ref="AB449" r:id="rId202" display="https://www.jivi.com.ar/ficha.php?id=1268"/>
    <hyperlink ref="AB390" r:id="rId203" display="https://www.jivi.com.ar/ficha.php?id=1277"/>
    <hyperlink ref="AB689" r:id="rId204"/>
    <hyperlink ref="AB96" r:id="rId205" display="https://www.jivi.com.ar/ficha.php?id=378"/>
    <hyperlink ref="AB180" r:id="rId206"/>
    <hyperlink ref="AB107" r:id="rId207"/>
    <hyperlink ref="AB109" r:id="rId208"/>
    <hyperlink ref="AB116" r:id="rId209" display="https://www.jivi.com.ar/ficha.php?id=1305"/>
    <hyperlink ref="AB117" r:id="rId210"/>
    <hyperlink ref="AB230" r:id="rId211" display="https://www.jivi.com.ar/ficha.php?id=1287"/>
    <hyperlink ref="AB639" r:id="rId212" display="https://www.jivi.com.ar/ficha.php?id=1290"/>
    <hyperlink ref="AB165" r:id="rId213" display="https://www.jivi.com.ar/ficha.php?id=1316"/>
    <hyperlink ref="AB102" r:id="rId214" display="https://www.jivi.com.ar/ficha.php?id=1314"/>
    <hyperlink ref="AJ1:AJ2" location="'Artículos Publicitarios'!A3" display="IR A PAGINA 1"/>
    <hyperlink ref="AB179" r:id="rId215"/>
    <hyperlink ref="AB378" r:id="rId216" display="https://www.jivi.com.ar/ficha.php?id=1344"/>
    <hyperlink ref="AB118" r:id="rId217"/>
    <hyperlink ref="AF733:AH733" location="'Artículos Publicitarios'!A3" display="IR A PAGINA 1"/>
    <hyperlink ref="AB163" r:id="rId218" display="https://www.jivi.com.ar/ficha.php?id=1346"/>
    <hyperlink ref="AB164" r:id="rId219" display="https://www.jivi.com.ar/ficha.php?id=1347"/>
    <hyperlink ref="AB202" r:id="rId220" display="https://www.jivi.com.ar/ficha.php?id=1348"/>
    <hyperlink ref="AB379" r:id="rId221" display="https://www.jivi.com.ar/ficha.php?id=1359"/>
    <hyperlink ref="AB393" r:id="rId222" display="https://www.jivi.com.ar/ficha.php?id=1360"/>
    <hyperlink ref="AB181" r:id="rId223"/>
    <hyperlink ref="AB104" r:id="rId224" display="https://www.jivi.com.ar/ficha.php?id=1366"/>
    <hyperlink ref="AC8:AI9" r:id="rId225" display="REGISTRATE EN NUESTRA WEB PARA BAJAR LISTA DE PRECIOS DESDE CUALQUIER PC"/>
    <hyperlink ref="AB284" r:id="rId226" display="https://www.jivi.com.ar/ficha.php?id=864"/>
    <hyperlink ref="AB404" r:id="rId227" display="https://www.jivi.com.ar/ficha.php?id=1372"/>
    <hyperlink ref="AB401" r:id="rId228" display="https://www.jivi.com.ar/ficha.php?id=1378"/>
    <hyperlink ref="AB405" r:id="rId229" display="https://www.jivi.com.ar/ficha.php?id=1382"/>
    <hyperlink ref="AB395" r:id="rId230" display="https://www.jivi.com.ar/ficha.php?id=1383"/>
    <hyperlink ref="AB425" r:id="rId231" display="https://www.jivi.com.ar/ficha.php?id=1384"/>
    <hyperlink ref="AB129" r:id="rId232" display="https://www.jivi.com.ar/ficha.php?id=1428"/>
    <hyperlink ref="AB426" r:id="rId233" display="https://www.jivi.com.ar/ficha.php?id=1385"/>
    <hyperlink ref="AB424" r:id="rId234" display="https://www.jivi.com.ar/ficha.php?id=1387"/>
    <hyperlink ref="AB427" r:id="rId235" display="https://www.jivi.com.ar/ficha.php?id=1389"/>
    <hyperlink ref="AB22" r:id="rId236" display="https://www.jivi.com.ar/ficha.php?id=363"/>
    <hyperlink ref="AF22" location="'Artículos Publicitarios'!A582" display="IR A REMERAS"/>
    <hyperlink ref="AF22:AI22" location="'Artículos Publicitarios'!A516" display="IR A REMERAS"/>
    <hyperlink ref="AF28:AJ28" location="'Artículos Publicitarios'!A236" display="IR A PORTADOCUMENTOS"/>
    <hyperlink ref="AF26:AH26" location="'Artículos Publicitarios'!A427" display="IR A BOLIGRAFOS"/>
    <hyperlink ref="AF26:AI26" location="'Artículos Publicitarios'!A128" display="IR A LLAVEROS DE CUERO"/>
    <hyperlink ref="AF26:AJ26" location="'Artículos Publicitarios'!A665" display="IR A ART. DE CUERO - CUCHILLERIA"/>
    <hyperlink ref="AB58" r:id="rId237" display="https://www.jivi.com.ar/ficha.php?id=236"/>
    <hyperlink ref="AB168" r:id="rId238" display="https://www.jivi.com.ar/ficha.php?id=1343"/>
    <hyperlink ref="AF13:AH13" location="'Artículos Publicitarios'!A342" display="IR A PAGINA 5"/>
    <hyperlink ref="AF14:AH14" location="'Artículos Publicitarios'!A421" display="IR A PAGINA 6"/>
    <hyperlink ref="AB406" r:id="rId239" display="https://www.jivi.com.ar/ficha.php?id=1394"/>
    <hyperlink ref="AB232" r:id="rId240" display="https://www.jivi.com.ar/ficha.php?id=872"/>
    <hyperlink ref="AB149" r:id="rId241" display="https://www.jivi.com.ar/ficha.php?id=1399"/>
    <hyperlink ref="AF19:AH19" location="'Artículos Publicitarios'!A427" display="IR A BOLIGRAFOS"/>
    <hyperlink ref="AF19:AI19" location="'Artículos Publicitarios'!A128" display="IR A LLAVEROS DE CUERO"/>
    <hyperlink ref="AF19:AJ19" location="'Artículos Publicitarios'!A348" display="IR A BOLIGRAFOS"/>
    <hyperlink ref="AB423" r:id="rId242" display="https://www.jivi.com.ar/ficha.php?id=1262"/>
    <hyperlink ref="AB394" r:id="rId243" display="https://www.jivi.com.ar/ficha.php?id=1400"/>
    <hyperlink ref="AB407" r:id="rId244" display="https://www.jivi.com.ar/ficha.php?id=1401"/>
    <hyperlink ref="AB161" r:id="rId245" display="https://www.jivi.com.ar/ficha.php?id=1392"/>
    <hyperlink ref="AB277" r:id="rId246" display="https://www.jivi.com.ar/ficha.php?id=1230"/>
    <hyperlink ref="AB380" r:id="rId247" display="https://www.jivi.com.ar/ficha.php?id=1110"/>
    <hyperlink ref="AB382" r:id="rId248" display="https://www.jivi.com.ar/ficha.php?id=1111"/>
    <hyperlink ref="AF21:AI21" location="'Artículos Publicitarios'!A325" display="IR A SET DE NOTAS"/>
    <hyperlink ref="AF21:AJ21" location="'Artículos Publicitarios'!A543" display="IR A PARAGUAS"/>
    <hyperlink ref="AB92" r:id="rId249" display="https://www.jivi.com.ar/ficha.php?id=477"/>
    <hyperlink ref="AB94" r:id="rId250" display="https://www.jivi.com.ar/ficha.php?id=376"/>
    <hyperlink ref="AB13" r:id="rId251" display="https://www.jivi.com.ar/ficha.php?id=1402"/>
    <hyperlink ref="AB542" r:id="rId252" display="https://www.jivi.com.ar/ficha.php?id=1393"/>
    <hyperlink ref="AB17" r:id="rId253" display="https://www.jivi.com.ar/ficha.php?id=1405"/>
    <hyperlink ref="AB126" r:id="rId254" display="https://www.jivi.com.ar/ficha.php?id=1413"/>
    <hyperlink ref="AB176" r:id="rId255" display="https://www.jivi.com.ar/ficha.php?id=1415"/>
    <hyperlink ref="AF12:AH12" location="'Artículos Publicitarios'!A260" display="IR A PAGINA 4"/>
    <hyperlink ref="AB325" r:id="rId256" display="https://www.jivi.com.ar/ficha.php?id=1356"/>
    <hyperlink ref="AB219" r:id="rId257" display="https://www.jivi.com.ar/ficha.php?id=1084"/>
    <hyperlink ref="AB323" r:id="rId258" display="https://www.jivi.com.ar/ficha.php?id=1353"/>
    <hyperlink ref="AF29:AH29" location="'Artículos Publicitarios'!A427" display="IR A BOLIGRAFOS"/>
    <hyperlink ref="AF29:AI29" location="'Artículos Publicitarios'!A128" display="IR A LLAVEROS DE CUERO"/>
    <hyperlink ref="AF29:AJ29" location="'Artículos Publicitarios'!A707" display="IR A DELANTALES"/>
    <hyperlink ref="AB694" r:id="rId259"/>
    <hyperlink ref="AB697" r:id="rId260"/>
    <hyperlink ref="AB663" r:id="rId261" display="https://www.jivi.com.ar/ficha.php?id=1281"/>
    <hyperlink ref="AB686" r:id="rId262"/>
    <hyperlink ref="AB298" r:id="rId263" display="https://www.jivi.com.ar/ficha.php?id=1421"/>
    <hyperlink ref="AB301" r:id="rId264" display="https://www.jivi.com.ar/ficha.php?id=1422"/>
    <hyperlink ref="AB302" r:id="rId265" display="https://www.jivi.com.ar/ficha.php?id=1423"/>
    <hyperlink ref="AB321" r:id="rId266" display="https://www.jivi.com.ar/ficha.php?id=1425"/>
    <hyperlink ref="AB322" r:id="rId267" display="https://www.jivi.com.ar/ficha.php?id=1426"/>
    <hyperlink ref="AB446" r:id="rId268" display="https://www.jivi.com.ar/ficha.php?id=1429"/>
    <hyperlink ref="AB489" r:id="rId269"/>
    <hyperlink ref="AB491" r:id="rId270"/>
    <hyperlink ref="AB537" r:id="rId271" display="https://www.jivi.com.ar/ficha.php?id=1436"/>
    <hyperlink ref="AB538" r:id="rId272" display="https://www.jivi.com.ar/ficha.php?id=1437"/>
    <hyperlink ref="AB539" r:id="rId273"/>
    <hyperlink ref="AB541" r:id="rId274" display="https://www.jivi.com.ar/ficha.php?id=1439"/>
    <hyperlink ref="AB300" r:id="rId275" display="https://www.jivi.com.ar/ficha.php?id=1442"/>
    <hyperlink ref="AB315" r:id="rId276" display="https://www.jivi.com.ar/ficha.php?id=1427"/>
    <hyperlink ref="AB654" r:id="rId277"/>
    <hyperlink ref="AB373" r:id="rId278" display="https://www.jivi.com.ar/ficha.php?id=1056"/>
    <hyperlink ref="AB276" r:id="rId279" display="https://www.jivi.com.ar/ficha.php?id=1334"/>
    <hyperlink ref="AB269" r:id="rId280" display="https://www.jivi.com.ar/ficha.php?id=1335"/>
    <hyperlink ref="AB308" r:id="rId281" display="https://www.jivi.com.ar/ficha.php?id=1446"/>
    <hyperlink ref="AB324" r:id="rId282" display="https://www.jivi.com.ar/ficha.php?id=1354"/>
    <hyperlink ref="AB313" r:id="rId283" display="https://www.jivi.com.ar/ficha.php?id=1448"/>
    <hyperlink ref="AB327" r:id="rId284" display="https://www.jivi.com.ar/ficha.php?id=1450"/>
    <hyperlink ref="AB198" r:id="rId285"/>
    <hyperlink ref="AB208" r:id="rId286" display="https://www.jivi.com.ar/ficha.php?id=1064"/>
    <hyperlink ref="AB207" r:id="rId287" display="https://www.jivi.com.ar/ficha.php?id=1063"/>
    <hyperlink ref="AB475" r:id="rId288"/>
    <hyperlink ref="AB690" r:id="rId289"/>
    <hyperlink ref="AB413" r:id="rId290" display="https://www.jivi.com.ar/ficha.php?id=1463"/>
    <hyperlink ref="AB414" r:id="rId291" display="https://www.jivi.com.ar/ficha.php?id=1464"/>
    <hyperlink ref="AB432" r:id="rId292" display="https://www.jivi.com.ar/ficha.php?id=1466"/>
    <hyperlink ref="AB543" r:id="rId293" display="https://www.jivi.com.ar/ficha.php?id=1467"/>
    <hyperlink ref="AB548" r:id="rId294" display="https://www.jivi.com.ar/ficha.php?id=1470"/>
    <hyperlink ref="AB552" r:id="rId295"/>
    <hyperlink ref="AB553" r:id="rId296" display="https://www.jivi.com.ar/ficha.php?id=1472"/>
    <hyperlink ref="AB501" r:id="rId297"/>
    <hyperlink ref="AB635" r:id="rId298"/>
    <hyperlink ref="AB636" r:id="rId299"/>
    <hyperlink ref="AB634" r:id="rId300"/>
    <hyperlink ref="AB223" r:id="rId301" display="https://www.jivi.com.ar/ficha.php?id=1478"/>
    <hyperlink ref="AB224" r:id="rId302"/>
    <hyperlink ref="AB225" r:id="rId303"/>
    <hyperlink ref="AB218" r:id="rId304" display="https://www.jivi.com.ar/ficha.php?id=1481"/>
    <hyperlink ref="AB233" r:id="rId305" display="https://www.jivi.com.ar/ficha.php?id=1483"/>
    <hyperlink ref="AB267" r:id="rId306" display="https://www.jivi.com.ar/ficha.php?id=1486"/>
    <hyperlink ref="AB268" r:id="rId307" display="https://www.jivi.com.ar/ficha.php?id=1488"/>
    <hyperlink ref="AB657" r:id="rId308" display="https://www.jivi.com.ar/ficha.php?id=1492"/>
    <hyperlink ref="AB658" r:id="rId309" display="https://www.jivi.com.ar/ficha.php?id=1493"/>
    <hyperlink ref="AB659" r:id="rId310" display="https://www.jivi.com.ar/ficha.php?id=1494"/>
    <hyperlink ref="AB660" r:id="rId311"/>
    <hyperlink ref="AB675" r:id="rId312" display="https://www.jivi.com.ar/ficha.php?id=1496"/>
    <hyperlink ref="AB676" r:id="rId313" display="https://www.jivi.com.ar/ficha.php?id=1497"/>
    <hyperlink ref="AB678" r:id="rId314" display="httphttps://www.jivi.com.ar/ficha.php?id=1498"/>
    <hyperlink ref="AB679" r:id="rId315" display="https://www.jivi.com.ar/ficha.php?id=1499"/>
    <hyperlink ref="AB680" r:id="rId316" display="https://www.jivi.com.ar/ficha.php?id=1500"/>
    <hyperlink ref="AB37" r:id="rId317"/>
    <hyperlink ref="AB39" r:id="rId318"/>
    <hyperlink ref="AB36" r:id="rId319"/>
    <hyperlink ref="AB38" r:id="rId320"/>
    <hyperlink ref="AB40" r:id="rId321"/>
    <hyperlink ref="AB41" r:id="rId322"/>
    <hyperlink ref="AB536" r:id="rId323" display="https://www.jivi.com.ar/ficha.php?id=1509"/>
    <hyperlink ref="AB517" r:id="rId324"/>
    <hyperlink ref="AB297" r:id="rId325" display="https://www.jivi.com.ar/ficha.php?id=1515"/>
    <hyperlink ref="AB69" r:id="rId326"/>
    <hyperlink ref="AB71" r:id="rId327"/>
    <hyperlink ref="AB409" r:id="rId328" display="https://www.jivi.com.ar/ficha.php?id=1523"/>
    <hyperlink ref="AB296" r:id="rId329" display="https://www.jivi.com.ar/ficha.php?id=1559"/>
    <hyperlink ref="AB299" r:id="rId330" display="https://www.jivi.com.ar/ficha.php?id=1527"/>
    <hyperlink ref="AB255" r:id="rId331" display="https://www.jivi.com.ar/ficha.php?id=1532"/>
    <hyperlink ref="AB265" r:id="rId332" display="https://www.jivi.com.ar/ficha.php?id=1534"/>
    <hyperlink ref="AB681" r:id="rId333" display="https://www.jivi.com.ar/ficha.php?id=1535"/>
    <hyperlink ref="AB682" r:id="rId334" display="https://www.jivi.com.ar/ficha.php?id=1536"/>
    <hyperlink ref="AB241" r:id="rId335" display="https://www.jivi.com.ar/ficha.php?id=1539"/>
    <hyperlink ref="AB133" r:id="rId336" display="https://www.jivi.com.ar/ficha.php?id=1540"/>
    <hyperlink ref="AB550" r:id="rId337" display="https://www.jivi.com.ar/ficha.php?id=1541"/>
    <hyperlink ref="AB551" r:id="rId338" display="https://www.jivi.com.ar/ficha.php?id=1542"/>
    <hyperlink ref="AB249" r:id="rId339" display="https://www.jivi.com.ar/ficha.php?id=1545"/>
    <hyperlink ref="AB381" r:id="rId340"/>
    <hyperlink ref="AB354" r:id="rId341" display="https://www.jivi.com.ar/ficha.php?id=981"/>
    <hyperlink ref="AB410" r:id="rId342" display="https://www.jivi.com.ar/ficha.php?id=1548"/>
    <hyperlink ref="AB411" r:id="rId343" display="https://www.jivi.com.ar/ficha.php?id=1549"/>
    <hyperlink ref="AB458" r:id="rId344"/>
    <hyperlink ref="AB445" r:id="rId345" display="https://www.jivi.com.ar/ficha.php?id=1552"/>
    <hyperlink ref="AB376" r:id="rId346" display="https://www.jivi.com.ar/ficha.php?id=1311"/>
    <hyperlink ref="AB148" r:id="rId347" display="https://www.jivi.com.ar/ficha.php?id=1553"/>
    <hyperlink ref="AB144" r:id="rId348" display="https://www.jivi.com.ar/ficha.php?id=1554"/>
    <hyperlink ref="AB597" r:id="rId349" display="https://www.jivi.com.ar/ficha.php?id=1555"/>
    <hyperlink ref="AB57" r:id="rId350" display="https://www.jivi.com.ar/ficha.php?id=1557"/>
    <hyperlink ref="AB695" r:id="rId351"/>
    <hyperlink ref="AB234" r:id="rId352" display="https://www.jivi.com.ar/ficha.php?id=518"/>
    <hyperlink ref="AB199" r:id="rId353" display="https://www.jivi.com.ar/ficha.php?id=1561"/>
    <hyperlink ref="AB10" r:id="rId354" display="https://www.jivi.com.ar/ficha.php?id=26"/>
    <hyperlink ref="AB243" r:id="rId355" display="https://www.jivi.com.ar/ficha.php?id=1066"/>
    <hyperlink ref="AB246" r:id="rId356" display="https://www.jivi.com.ar/ficha.php?id=1562"/>
    <hyperlink ref="AB453" r:id="rId357" display="https://www.jivi.com.ar/ficha.php?id=1563"/>
    <hyperlink ref="AB162" r:id="rId358" display="https://www.jivi.com.ar/ficha.php?id=1414"/>
    <hyperlink ref="AB18" r:id="rId359" display="https://www.jivi.com.ar/ficha.php?id=790"/>
    <hyperlink ref="AB305" r:id="rId360" display="https://www.jivi.com.ar/ficha.php?id=1407"/>
    <hyperlink ref="AB304" r:id="rId361" display="https://www.jivi.com.ar/ficha.php?id=1409"/>
    <hyperlink ref="AB306" r:id="rId362" display="https://www.jivi.com.ar/ficha.php?id=1408"/>
    <hyperlink ref="AB294" r:id="rId363" display="https://www.jivi.com.ar/ficha.php?id=1564"/>
    <hyperlink ref="AB29" r:id="rId364" display="https://www.jivi.com.ar/ficha.php?id=1434"/>
    <hyperlink ref="AB415" r:id="rId365" display="https://www.jivi.com.ar/ficha.php?id=1567"/>
    <hyperlink ref="AB45" r:id="rId366"/>
    <hyperlink ref="AB46" r:id="rId367"/>
    <hyperlink ref="AB47" r:id="rId368"/>
    <hyperlink ref="AB130" r:id="rId369" display="https://www.jivi.com.ar/ficha.php?id=1571"/>
    <hyperlink ref="AB217" r:id="rId370"/>
    <hyperlink ref="AB412" r:id="rId371" display="https://www.jivi.com.ar/ficha.php?id=1572"/>
    <hyperlink ref="AB295" r:id="rId372" display="https://www.jivi.com.ar/ficha.php?id=1573"/>
    <hyperlink ref="AB567" r:id="rId373" display="https://www.jivi.com.ar/ficha.php?id=1294"/>
    <hyperlink ref="AF30:AJ30" location="'Artículos Publicitarios'!A583" display="IR A MOCHILAS - BOLSOS - ETC"/>
    <hyperlink ref="AB574" r:id="rId374" display="https://www.jivi.com.ar/ficha.php?id=1271"/>
    <hyperlink ref="AB573" r:id="rId375" display="https://www.jivi.com.ar/ficha.php?id=1296"/>
    <hyperlink ref="AB579" r:id="rId376" display="https://www.jivi.com.ar/ficha.php?id=1139"/>
    <hyperlink ref="AB571" r:id="rId377" display="https://www.jivi.com.ar/ficha.php?id=1249"/>
    <hyperlink ref="AB613" r:id="rId378" display="https://www.jivi.com.ar/ficha.php?id=1574"/>
    <hyperlink ref="AB572" r:id="rId379" display="https://www.jivi.com.ar/ficha.php?id=1576"/>
    <hyperlink ref="AB583" r:id="rId380" display="https://www.jivi.com.ar/ficha.php?id=1580"/>
    <hyperlink ref="AB584" r:id="rId381" display="https://www.jivi.com.ar/ficha.php?id=1581"/>
    <hyperlink ref="AB588" r:id="rId382" display="https://www.jivi.com.ar/ficha.php?id=1583"/>
    <hyperlink ref="AB589" r:id="rId383" display="https://www.jivi.com.ar/ficha.php?id=1584"/>
    <hyperlink ref="AB591" r:id="rId384" display="https://www.jivi.com.ar/ficha.php?id=1586"/>
    <hyperlink ref="AB592" r:id="rId385" display="https://www.jivi.com.ar/ficha.php?id=1587"/>
    <hyperlink ref="AF18:AJ18" location="'Artículos Publicitarios'!A267" display="IR A CUADERNOS"/>
    <hyperlink ref="AB279" r:id="rId386" display="https://www.jivi.com.ar/ficha.php?id=1221"/>
    <hyperlink ref="AB285" r:id="rId387" display="https://www.jivi.com.ar/ficha.php?id=1588"/>
    <hyperlink ref="AB531" r:id="rId388"/>
    <hyperlink ref="AB532" r:id="rId389" display="https://www.jivi.com.ar/ficha.php?id=1590"/>
    <hyperlink ref="AB533" r:id="rId390"/>
    <hyperlink ref="AB534" r:id="rId391" display="https://www.jivi.com.ar/ficha.php?id=1592"/>
    <hyperlink ref="AB598" r:id="rId392" display="https://www.jivi.com.ar/ficha.php?id=1593"/>
    <hyperlink ref="AB292" r:id="rId393" display="https://www.jivi.com.ar/ficha.php?id=1595"/>
    <hyperlink ref="AB435" r:id="rId394" display="https://www.jivi.com.ar/ficha.php?id=1596"/>
    <hyperlink ref="AB599" r:id="rId395" display="https://www.jivi.com.ar/ficha.php?id=1598"/>
    <hyperlink ref="AB590" r:id="rId396" display="https://www.jivi.com.ar/ficha.php?id=1599"/>
    <hyperlink ref="AB601" r:id="rId397" display="https://www.jivi.com.ar/ficha.php?id=1602"/>
    <hyperlink ref="AB606" r:id="rId398" display="https://www.jivi.com.ar/ficha.php?id=1603"/>
    <hyperlink ref="AB60" r:id="rId399"/>
    <hyperlink ref="AB607" r:id="rId400" display="https://www.jivi.com.ar/ficha.php?id=1604"/>
    <hyperlink ref="AB608" r:id="rId401" display="https://www.jivi.com.ar/ficha.php?id=1606"/>
    <hyperlink ref="AB311" r:id="rId402" display="https://www.jivi.com.ar/ficha.php?id=1424"/>
    <hyperlink ref="AB184" r:id="rId403"/>
    <hyperlink ref="AB260" r:id="rId404" display="https://www.jivi.com.ar/ficha.php?id=1459"/>
    <hyperlink ref="AB259" r:id="rId405" display="https://www.jivi.com.ar/ficha.php?id=1608"/>
    <hyperlink ref="AB258" r:id="rId406" display="https://www.jivi.com.ar/ficha.php?id=1609"/>
    <hyperlink ref="AB280" r:id="rId407" display="https://www.jivi.com.ar/ficha.php?id=1274"/>
    <hyperlink ref="AB442" r:id="rId408" display="https://www.jivi.com.ar/ficha.php?id=1610"/>
    <hyperlink ref="AB587" r:id="rId409" display="https://www.jivi.com.ar/ficha.php?id=1611"/>
    <hyperlink ref="AB586" r:id="rId410" display="https://www.jivi.com.ar/ficha.php?id=1612"/>
    <hyperlink ref="AB211" r:id="rId411" display="https://www.jivi.com.ar/ficha.php?id=1614"/>
    <hyperlink ref="AB209" r:id="rId412" display="https://www.jivi.com.ar/ficha.php?id=1452"/>
    <hyperlink ref="AB227" r:id="rId413" display="https://www.jivi.com.ar/ficha.php?id=608"/>
    <hyperlink ref="AB616" r:id="rId414" display="https://www.jivi.com.ar/ficha.php?id=1617"/>
    <hyperlink ref="AB617" r:id="rId415" display="https://www.jivi.com.ar/ficha.php?id=1618"/>
    <hyperlink ref="AB529" r:id="rId416"/>
    <hyperlink ref="AB530" r:id="rId417" display="https://www.jivi.com.ar/ficha.php?id=1620"/>
    <hyperlink ref="AB545" r:id="rId418" display="https://www.jivi.com.ar/ficha.php?id=1204"/>
    <hyperlink ref="AB546" r:id="rId419"/>
    <hyperlink ref="AB352" r:id="rId420"/>
    <hyperlink ref="AB516" r:id="rId421"/>
    <hyperlink ref="AB647" r:id="rId422"/>
    <hyperlink ref="AB699" r:id="rId423"/>
    <hyperlink ref="AB700" r:id="rId424"/>
    <hyperlink ref="AB701" r:id="rId425"/>
    <hyperlink ref="AB385" r:id="rId426" display="https://www.jivi.com.ar/ficha.php?id=1641"/>
    <hyperlink ref="AB461" r:id="rId427"/>
    <hyperlink ref="AB462" r:id="rId428"/>
    <hyperlink ref="AB463" r:id="rId429"/>
    <hyperlink ref="AB684" r:id="rId430"/>
    <hyperlink ref="AB460" r:id="rId431"/>
    <hyperlink ref="AB173" r:id="rId432" display="https://www.jivi.com.ar/ficha.php?id=1660"/>
    <hyperlink ref="AB100" r:id="rId433" display="https://www.jivi.com.ar/ficha.php?id=440"/>
    <hyperlink ref="AB685" r:id="rId434"/>
    <hyperlink ref="AB693" r:id="rId435"/>
    <hyperlink ref="AB698" r:id="rId436"/>
    <hyperlink ref="AB535" r:id="rId437" display="https://www.jivi.com.ar/ficha.php?id=1684"/>
    <hyperlink ref="AB387" r:id="rId438" display="https://www.jivi.com.ar/ficha.php?id=1272"/>
    <hyperlink ref="AB386" r:id="rId439" display="https://www.jivi.com.ar/ficha.php?id=1687"/>
    <hyperlink ref="AB384" r:id="rId440" display="https://www.jivi.com.ar/ficha.php?id=1672"/>
    <hyperlink ref="AB593" r:id="rId441" display="https://www.jivi.com.ar/ficha.php?id=1690"/>
    <hyperlink ref="AB528" r:id="rId442" display="https://www.jivi.com.ar/ficha.php?id=1691"/>
    <hyperlink ref="AB540" r:id="rId443" display="https://www.jivi.com.ar/ficha.php?id=1438"/>
    <hyperlink ref="AF521:AH521" location="'Artículos Publicitarios'!A3" display="IR A PAGINA 1"/>
    <hyperlink ref="AB30" r:id="rId444" display="https://www.jivi.com.ar/ficha.php?id=36"/>
    <hyperlink ref="AB526" r:id="rId445"/>
    <hyperlink ref="AB527" r:id="rId446" display="https://www.jivi.com.ar/ficha.php?id=1698"/>
    <hyperlink ref="AB436" r:id="rId447" display="https://www.jivi.com.ar/ficha.php?id=1699"/>
    <hyperlink ref="AB518" r:id="rId448"/>
    <hyperlink ref="AB408" r:id="rId449" display="https://www.jivi.com.ar/ficha.php?id=1462"/>
    <hyperlink ref="AB254" r:id="rId450" display="https://www.jivi.com.ar/ficha.php?id=1531"/>
    <hyperlink ref="AB252" r:id="rId451" display="https://www.jivi.com.ar/ficha.php?id=1528"/>
    <hyperlink ref="AB447" r:id="rId452"/>
    <hyperlink ref="AB360" r:id="rId453" display="https://www.jivi.com.ar/ficha.php?id=977"/>
    <hyperlink ref="AB430" r:id="rId454" display="https://www.jivi.com.ar/ficha.php?id=1457"/>
    <hyperlink ref="AB429" r:id="rId455" display="https://www.jivi.com.ar/ficha.php?id=1456"/>
    <hyperlink ref="AB361" r:id="rId456" display="https://www.jivi.com.ar/ficha.php?id=1707"/>
    <hyperlink ref="AB362" r:id="rId457" display="https://www.jivi.com.ar/ficha.php?id=1708"/>
    <hyperlink ref="AB433" r:id="rId458"/>
    <hyperlink ref="AB525" r:id="rId459" display="https://www.jivi.com.ar/ficha.php?id=1722"/>
    <hyperlink ref="AB14" r:id="rId460" display="https://www.jivi.com.ar/ficha.php?id=1723"/>
    <hyperlink ref="AB195" r:id="rId461"/>
    <hyperlink ref="AB191" r:id="rId462"/>
    <hyperlink ref="AB193" r:id="rId463"/>
    <hyperlink ref="AB192" r:id="rId464"/>
    <hyperlink ref="AB194" r:id="rId465"/>
    <hyperlink ref="AB190" r:id="rId466"/>
    <hyperlink ref="AB648" r:id="rId467"/>
    <hyperlink ref="AB650" r:id="rId468"/>
    <hyperlink ref="AB671" r:id="rId469"/>
    <hyperlink ref="AB674" r:id="rId470"/>
    <hyperlink ref="AB655" r:id="rId471"/>
    <hyperlink ref="AB614" r:id="rId472" display="https://www.jivi.com.ar/ficha.php?id=1575"/>
    <hyperlink ref="AB609" r:id="rId473" display="https://www.jivi.com.ar/ficha.php?id=1743"/>
    <hyperlink ref="AB610" r:id="rId474" display="https://www.jivi.com.ar/ficha.php?id=1744"/>
    <hyperlink ref="AB611" r:id="rId475" display="https://www.jivi.com.ar/ficha.php?id=1745"/>
    <hyperlink ref="AB580" r:id="rId476" display="https://www.jivi.com.ar/ficha.php?id=1746"/>
    <hyperlink ref="AB645" r:id="rId477"/>
    <hyperlink ref="AB523" r:id="rId478"/>
    <hyperlink ref="AB524" r:id="rId479" display="https://www.jivi.com.ar/ficha.php?id=1749"/>
    <hyperlink ref="AB569" r:id="rId480"/>
    <hyperlink ref="AB696" r:id="rId481"/>
    <hyperlink ref="AB434" r:id="rId482"/>
    <hyperlink ref="AB303" r:id="rId483" display="https://www.jivi.com.ar/ficha.php?id=1461"/>
    <hyperlink ref="AB594" r:id="rId484" display="https://www.jivi.com.ar/ficha.php?id=1776"/>
    <hyperlink ref="AB128" r:id="rId485" display="https://www.jivi.com.ar/ficha.php?id=1310"/>
    <hyperlink ref="AB490" r:id="rId486"/>
    <hyperlink ref="AB63" r:id="rId487" display="https://www.jivi.com.ar/ficha.php?id=76"/>
    <hyperlink ref="AB62" r:id="rId488"/>
    <hyperlink ref="AB61" r:id="rId489"/>
    <hyperlink ref="AB247" r:id="rId490" display="https://www.jivi.com.ar/ficha.php?id=1709"/>
    <hyperlink ref="AB618" r:id="rId491" display="https://www.jivi.com.ar/ficha.php?id=1710"/>
    <hyperlink ref="AB627" r:id="rId492"/>
    <hyperlink ref="AB629" r:id="rId493"/>
    <hyperlink ref="AB631" r:id="rId494"/>
    <hyperlink ref="AB575" r:id="rId495" display="https://www.jivi.com.ar/ficha.php?id=1293"/>
    <hyperlink ref="AB274" r:id="rId496" display="https://www.jivi.com.ar/ficha.php?id=1340"/>
    <hyperlink ref="AB278" r:id="rId497" display="https://www.jivi.com.ar/ficha.php?id=1265"/>
    <hyperlink ref="AB266" r:id="rId498" display="https://www.jivi.com.ar/ficha.php?id=1487"/>
    <hyperlink ref="AB119" r:id="rId499"/>
    <hyperlink ref="AB124" r:id="rId500"/>
    <hyperlink ref="AB120" r:id="rId501"/>
    <hyperlink ref="AB213" r:id="rId502" display="https://www.jivi.com.ar/ficha.php?id=1319"/>
    <hyperlink ref="AB125" r:id="rId503"/>
    <hyperlink ref="AB307" r:id="rId504" display="https://www.jivi.com.ar/ficha.php?id=1447"/>
    <hyperlink ref="AB371" r:id="rId505" display="https://www.jivi.com.ar/ficha.php?id=1087"/>
    <hyperlink ref="AB492" r:id="rId506"/>
    <hyperlink ref="AB132" r:id="rId507" display="https://www.jivi.com.ar/ficha.php?id=1451"/>
    <hyperlink ref="AB270" r:id="rId508"/>
    <hyperlink ref="AB365" r:id="rId509" display="https://www.jivi.com.ar/ficha.php?id=1805"/>
    <hyperlink ref="AB326" r:id="rId510" display="https://www.jivi.com.ar/ficha.php?id=1342"/>
    <hyperlink ref="AB372" r:id="rId511" display="https://www.jivi.com.ar/ficha.php?id=1070"/>
    <hyperlink ref="AB375" r:id="rId512"/>
    <hyperlink ref="AB457" r:id="rId513"/>
    <hyperlink ref="AB441" r:id="rId514" display="https://www.jivi.com.ar/ficha.php?id=1597"/>
    <hyperlink ref="AB377" r:id="rId515" display="https://www.jivi.com.ar/ficha.php?id=1131"/>
    <hyperlink ref="AB291" r:id="rId516" display="https://www.jivi.com.ar/ficha.php?id=1774"/>
    <hyperlink ref="AB419" r:id="rId517" display="https://www.jivi.com.ar/ficha.php?id=1820"/>
    <hyperlink ref="AB251" r:id="rId518" display="https://www.jivi.com.ar/ficha.php?id=1544"/>
    <hyperlink ref="AB256" r:id="rId519" display="https://www.jivi.com.ar/ficha.php?id=1533"/>
    <hyperlink ref="AF10:AH10" location="'Artículos Publicitarios'!A101" display="IR A PAGINA 2"/>
    <hyperlink ref="AB595" r:id="rId520" display="https://www.jivi.com.ar/ficha.php?id=1556"/>
    <hyperlink ref="AB612" r:id="rId521" display="https://www.jivi.com.ar/ficha.php?id=1825"/>
    <hyperlink ref="AB286" r:id="rId522" display="https://www.jivi.com.ar/ficha.php?id=1491"/>
    <hyperlink ref="AB197" r:id="rId523" display="https://www.jivi.com.ar/ficha.php?id=149"/>
    <hyperlink ref="AB293" r:id="rId524" display="https://www.jivi.com.ar/ficha.php?id=1594"/>
    <hyperlink ref="AB431" r:id="rId525"/>
    <hyperlink ref="AB210" r:id="rId526" display="https://www.jivi.com.ar/ficha.php?id=1799"/>
    <hyperlink ref="AB691" r:id="rId527"/>
    <hyperlink ref="AB692" r:id="rId528"/>
    <hyperlink ref="AB281" r:id="rId529" display="https://www.jivi.com.ar/ficha.php?id=1077"/>
    <hyperlink ref="AB351" r:id="rId530"/>
    <hyperlink ref="AB615" r:id="rId531" display="https://www.jivi.com.ar/ficha.php?id=1616"/>
    <hyperlink ref="AB261" r:id="rId532" display="https://www.jivi.com.ar/ficha.php?id=1520"/>
    <hyperlink ref="AB271" r:id="rId533"/>
    <hyperlink ref="AB309" r:id="rId534" display="https://www.jivi.com.ar/ficha.php?id=1443"/>
    <hyperlink ref="AB131" r:id="rId535" display="https://www.jivi.com.ar/ficha.php?id=1055"/>
    <hyperlink ref="AB649" r:id="rId536"/>
    <hyperlink ref="AB673" r:id="rId537"/>
    <hyperlink ref="AB253" r:id="rId538" display="https://www.jivi.com.ar/ficha.php?id=1530"/>
    <hyperlink ref="AB403" r:id="rId539" display="https://www.jivi.com.ar/ficha.php?id=1379"/>
    <hyperlink ref="AB402" r:id="rId540" display="https://www.jivi.com.ar/ficha.php?id=1380"/>
    <hyperlink ref="AB366" r:id="rId541" display="https://www.jivi.com.ar/ficha.php?id=1840"/>
    <hyperlink ref="AB562" r:id="rId542" display="https://www.jivi.com.ar/ficha.php?id=1371"/>
    <hyperlink ref="AB630" r:id="rId543"/>
    <hyperlink ref="AB582" r:id="rId544" display="https://www.jivi.com.ar/ficha.php?id=1579"/>
    <hyperlink ref="AB576" r:id="rId545" display="https://www.jivi.com.ar/ficha.php?id=1138"/>
    <hyperlink ref="AB564" r:id="rId546" display="https://www.jivi.com.ar/ficha.php?id=1911"/>
    <hyperlink ref="AB566" r:id="rId547" display="https://www.jivi.com.ar/ficha.php?id=1916"/>
    <hyperlink ref="AB565" r:id="rId548" display="https://www.jivi.com.ar/ficha.php?id=1912"/>
    <hyperlink ref="AF560:AH560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416" r:id="rId549" display="https://www.jivi.com.ar/ficha.php?id=1386"/>
    <hyperlink ref="AB651" r:id="rId550"/>
    <hyperlink ref="AB383" r:id="rId551" display="https://www.jivi.com.ar/ficha.php?id=1566"/>
    <hyperlink ref="AB248" r:id="rId552" display="https://www.jivi.com.ar/ficha.php?id=1998"/>
    <hyperlink ref="AB287" r:id="rId553" display="https://www.jivi.com.ar/ficha.php?id=1411"/>
    <hyperlink ref="AB596" r:id="rId554" display="https://www.jivi.com.ar/ficha.php?id=2000"/>
    <hyperlink ref="AB585" r:id="rId555" display="https://www.jivi.com.ar/ficha.php?id=2002"/>
    <hyperlink ref="AB600" r:id="rId556" display="https://www.jivi.com.ar/ficha.php?id=1601"/>
    <hyperlink ref="AB581" r:id="rId557" display="https://www.jivi.com.ar/ficha.php?id=1577"/>
    <hyperlink ref="AB577" r:id="rId558" display="https://www.jivi.com.ar/ficha.php?id=1245"/>
    <hyperlink ref="AB605" r:id="rId559" display="https://www.jivi.com.ar/ficha.php?id=2003"/>
    <hyperlink ref="AB257" r:id="rId560" display="https://www.jivi.com.ar/ficha.php?id=2007"/>
    <hyperlink ref="AB170" r:id="rId561" display="https://www.jivi.com.ar/ficha.php?id=1258"/>
    <hyperlink ref="AB468" r:id="rId562"/>
    <hyperlink ref="AB459" r:id="rId563"/>
    <hyperlink ref="AB422" r:id="rId564" display="https://www.jivi.com.ar/ficha.php?id=1720"/>
    <hyperlink ref="AB497" r:id="rId565"/>
    <hyperlink ref="AB250" r:id="rId566" display="https://www.jivi.com.ar/ficha.php?id=2011"/>
    <hyperlink ref="AB370" r:id="rId567"/>
    <hyperlink ref="AB570" r:id="rId568" display="https://www.jivi.com.ar/ficha.php?id=2014"/>
    <hyperlink ref="AB421" r:id="rId569" display="https://www.jivi.com.ar/ficha.php?id=2017"/>
    <hyperlink ref="AB437" r:id="rId570" display="https://www.jivi.com.ar/ficha.php?id=2018"/>
    <hyperlink ref="AB273" r:id="rId571" display="https://www.jivi.com.ar/ficha.php?id=1339"/>
    <hyperlink ref="AB290" r:id="rId572" display="https://www.jivi.com.ar/ficha.php?id=2026"/>
    <hyperlink ref="AB235" r:id="rId573" display="https://www.jivi.com.ar/ficha.php?id=335"/>
    <hyperlink ref="AB331" r:id="rId574" display="https://www.jivi.com.ar/ficha.php?id=444"/>
    <hyperlink ref="AB469" r:id="rId575"/>
    <hyperlink ref="AB470" r:id="rId576"/>
    <hyperlink ref="AB619" r:id="rId577" display="https://www.jivi.com.ar/ficha.php?id=2040"/>
    <hyperlink ref="AB688" r:id="rId578" display="https://www.jivi.com.ar/ficha.php?id=1662"/>
    <hyperlink ref="AB672" r:id="rId579" display="https://www.jivi.com.ar/ficha.php?id=2042"/>
    <hyperlink ref="AB508" r:id="rId580"/>
    <hyperlink ref="AB509" r:id="rId581"/>
    <hyperlink ref="AB512" r:id="rId582"/>
    <hyperlink ref="AF479:AH479" location="'Artículos Publicitarios'!A3" display="IR A PAGINA 1"/>
    <hyperlink ref="AB428" r:id="rId583" display="https://www.jivi.com.ar/ficha.php?id=1390"/>
    <hyperlink ref="AB392" r:id="rId584" display="https://www.jivi.com.ar/ficha.php?id=1280"/>
    <hyperlink ref="AB391" r:id="rId585" display="https://www.jivi.com.ar/ficha.php?id=1278"/>
    <hyperlink ref="AB275" r:id="rId586" display="https://www.jivi.com.ar/ficha.php?id=1256"/>
    <hyperlink ref="AB310" r:id="rId587" display="https://www.jivi.com.ar/ficha.php?id=1410"/>
    <hyperlink ref="AB314" r:id="rId588" display="https://www.jivi.com.ar/articulos.php?search=1066"/>
    <hyperlink ref="AB16" r:id="rId589" display="https://www.jivi.com.ar/ficha.php?id=1433"/>
    <hyperlink ref="AB175" r:id="rId590" display="https://www.jivi.com.ar/ficha.php?id=1416"/>
    <hyperlink ref="AB604" r:id="rId591" display="https://www.jivi.com.ar/ficha.php?id=2051"/>
    <hyperlink ref="AB167" r:id="rId592" display="https://www.jivi.com.ar/ficha.php?id=2052"/>
    <hyperlink ref="AB418" r:id="rId593"/>
    <hyperlink ref="AB166" r:id="rId594" display="https://www.jivi.com.ar/ficha.php?id=2055"/>
    <hyperlink ref="AB262" r:id="rId595" display="https://www.jivi.com.ar/ficha.php?id=2058"/>
    <hyperlink ref="AB245" r:id="rId596" display="https://www.jivi.com.ar/ficha.php?id=971"/>
    <hyperlink ref="AB244" r:id="rId597" display="https://www.jivi.com.ar/ficha.php?id=2059"/>
    <hyperlink ref="AB687" r:id="rId598" display="https://www.jivi.com.ar/ficha.php?id=2060"/>
    <hyperlink ref="AB670" r:id="rId599" display="https://www.jivi.com.ar/ficha.php?id=2061"/>
    <hyperlink ref="AB683" r:id="rId600" display="https://www.jivi.com.ar/ficha.php?id=2062"/>
    <hyperlink ref="AB169" r:id="rId601" display="https://www.jivi.com.ar/ficha.php?id=1369"/>
    <hyperlink ref="AB272" r:id="rId602" display="https://www.jivi.com.ar/ficha.php?id=1364"/>
    <hyperlink ref="AB200" r:id="rId603" display="https://www.jivi.com.ar/ficha.php?id=1391"/>
    <hyperlink ref="AB201" r:id="rId604" display="https://www.jivi.com.ar/ficha.php?id=2066"/>
    <hyperlink ref="AB438" r:id="rId605" display="https://www.jivi.com.ar/ficha.php?id=2067"/>
    <hyperlink ref="AB439" r:id="rId606" display="https://www.jivi.com.ar/ficha.php?id=2068"/>
    <hyperlink ref="AB568" r:id="rId607" display="https://www.jivi.com.ar/ficha.php?id=1295"/>
    <hyperlink ref="AB621" r:id="rId608" display="https://www.jivi.com.ar/ficha.php?id=2069"/>
    <hyperlink ref="AB603" r:id="rId609" display="https://www.jivi.com.ar/ficha.php?id=2070"/>
    <hyperlink ref="AB563" r:id="rId610" display="https://www.jivi.com.ar/ficha.php?id=2083"/>
    <hyperlink ref="AB172" r:id="rId611" display="https://www.jivi.com.ar/ficha.php?id=1266"/>
    <hyperlink ref="AB177" r:id="rId612" display="https://www.jivi.com.ar/ficha.php?id=2084"/>
    <hyperlink ref="AB171" r:id="rId613" display="https://www.jivi.com.ar/ficha.php?id=2085"/>
    <hyperlink ref="AB178" r:id="rId614" display="https://www.jivi.com.ar/ficha.php?id=1001"/>
    <hyperlink ref="AB103" r:id="rId615" display="https://www.jivi.com.ar/ficha.php?id=333"/>
    <hyperlink ref="AB440" r:id="rId616" display="https://www.jivi.com.ar/ficha.php?id=1512"/>
    <hyperlink ref="AB443" r:id="rId617" display="https://www.jivi.com.ar/ficha.php?id=1786"/>
    <hyperlink ref="AB369" r:id="rId618" display="https://www.jivi.com.ar/ficha.php?id=1299"/>
    <hyperlink ref="AB620" r:id="rId619" display="https://www.jivi.com.ar/ficha.php?id=2097"/>
    <hyperlink ref="AB444" r:id="rId620" display="https://www.jivi.com.ar/ficha.php?id=2101"/>
    <hyperlink ref="AB513" r:id="rId621"/>
    <hyperlink ref="AB514" r:id="rId622"/>
    <hyperlink ref="AB174" r:id="rId623" display="https://www.jivi.com.ar/ficha.php?id=2142"/>
    <hyperlink ref="AB263" r:id="rId624" display="https://www.jivi.com.ar/ficha.php?id=2147"/>
    <hyperlink ref="AB264" r:id="rId625" display="https://www.jivi.com.ar/ficha.php?id=2146"/>
    <hyperlink ref="AB329" r:id="rId626" display="https://www.jivi.com.ar/ficha.php?id=1403"/>
    <hyperlink ref="AF17:AJ17" location="'Artículos Publicitarios'!A313" display="IR A BOTELLAS Y JARROS"/>
    <hyperlink ref="AB464" r:id="rId627"/>
    <hyperlink ref="AB465" r:id="rId628"/>
    <hyperlink ref="AB466" r:id="rId629"/>
    <hyperlink ref="AB312" r:id="rId630" display="https://www.jivi.com.ar/ficha.php?id=2178"/>
    <hyperlink ref="AB11" r:id="rId631" display="https://www.jivi.com.ar/ficha.php?id=2105"/>
    <hyperlink ref="AB289" r:id="rId632" display="https://www.jivi.com.ar/ficha.php?id=2202"/>
    <hyperlink ref="AB389" r:id="rId633" display="https://www.jivi.com.ar/ficha.php?id=1279"/>
    <hyperlink ref="AB481" r:id="rId634"/>
    <hyperlink ref="AB602" r:id="rId635" display="https://www.jivi.com.ar/ficha.php?id=2203"/>
    <hyperlink ref="AB578" r:id="rId636" display="https://www.jivi.com.ar/ficha.php?id=2204"/>
  </hyperlinks>
  <pageMargins left="0.27559055118110237" right="0.11811023622047245" top="0.19685039370078741" bottom="0.15748031496062992" header="0.11811023622047245" footer="0.15748031496062992"/>
  <pageSetup paperSize="5" orientation="portrait" copies="5" r:id="rId637"/>
  <headerFooter alignWithMargins="0"/>
  <cellWatches>
    <cellWatch r="X8"/>
  </cellWatches>
  <ignoredErrors>
    <ignoredError sqref="AB645 AB655 AB689:AB690 AB684:AB686 AB671:AB674" numberStoredAsText="1"/>
    <ignoredError sqref="X639 B27:E27 C26:E26 A202:E202 A104:E105 H396:Q396 C28:E28 H652:L654 G282 G284 B149:E149 G316:W316 U31 S39:S40 S36 U36 U39:U40 S42 U42 S48 U48 F519:T519 W515 G354:G356 V92:W93 F82:I89 F91:I91 F90:I90 Q106 I57:I59 U106 S106 J81:J91 B277:E277 W554:W555 G95:G99 H353:J357 G81:I81 H373:J373 H94:W94 J10:K10 X218:X220 J12:K12 X11 F517 G525:G536 G539 G545:G553 H133 O108:O109 S108:S109 Q108:Q109 U108:U109 X446 G276:G277 V28:V29 S31 H31:M31 H29:I29 U22:V24 G363:J364 G378:J381 H376:J376 G304:G306 O31 Q31 H30 I187:M187 I186:M186 I185:M185 I188:M188 H185:H188 P229:W229 P228 I13 F461 W456 H554:I555 K554:K555 U554:U555 S554:S555 Q554:Q555 O554:O555 M554:M555 G267:G270 G297:G302 H366:K366 G308:G309 G344:H344 K346:K348 G349:K350 K352:K357 Q359 R359:W359 G393:K394 G390:K390 K372:K381 G446:G450 W190 W195 P220:W220 G294:G295 H471:H473 I472:V473 I471:N471 O471:V471 G471:G475 G382:K382 J383:K383 N95:W95 G258:G259 G367:K368 G170 G451:K451 G388 F608:G608 G456:G458 G607 G422:G425 F593:G598 G428 W314 G288 H19:T19 G68 G168 F219:W219 K220 F441:G441 F606:G606 G605 G442 G592 F601:G601 F614:G615 G609:G613 G616:G618 G338:H338 H689:I689 F251:G252 I331:V332 F411:G413 B579:E579 F328:G328 G101:G102 F620:G620 B588:G588 B586:E586 B587:E587 G586:G587 G246:G250 G444 W63 H143:W146 H147:V148 H61:I68 W57 N30:W30 H22:T25 H26:J28 W166 G488 H95:I102 J96:W102 K95:M95 G103:V105 I127:V133 G149:W149 W182 H166:V183 G231:G234 H231:V235 H227:I227 G209:V212 G216:V217 H215:M215 G213:G215 H213:V214 N215:V215 L190:V195 H191:K195 H190:K190 G190:G195 G196:V199 G202:V202 N185:V188 G200:W201 H184:W184 O229 G230:V230 G228:N229 G189:V189 H165:N165 G460:G463 G291:G292 W322:W325 H290:V303 I333:K345 I330 K330:W330 K360:K365 K369:K370 H384:K387 K391:K392 L333:V357 L360:V387 H462:W463 F416:G416 G358:W358 G359:P359 H403:W439 U446:V448 T446:T447 H447:L447 N447 P446:P447 R446:R447 H446:N446 H440:V445 G515:G518 G507:G512 H488:V518 G566 G563:H565 B585:G585 B580:E580 B581:G581 B582:G582 B583:G583 I563:V570 I571 G562:V562 H579:I579 L579:V579 I572:V576 L571:V571 H523:W524 W645 W648:W649 H645:V649 G650:V650 G655:W655 W670 F671:G672 O656:V664 H670:V680 G684:I688 G681:V683 H697:T701 F696:G701 H690:V696 J684:V689 G452:V455 H456:V461 H464:V467 G468:W468 H474:V475 G627:V629 K150:W150 H17:H18 L10:V13 H20:W21 K26:T29 W53 G54:I56 G52:V53 J54:V68 G218 I218:V218 M220 O220 H161:V164 H313:V314 M447:M448 O446:O448 Q446:Q448 S446:S448 H448:K450 V449:V451 G579:G580 G577:V577 H603:V621 H566:H575 H312:W312 B584:E584 G584 F674:G674 G673 G417 G599:G600 H14:V14 H15:T16 G220:I226 J221:W227 H241:V288 J289:W289 H321:V328 H401:V402 L389:V394 G414:G415 J481:V481 G541:G543 H525:V553 H651:W651 H580:V591 H602:V602 H304:V311 H593:V601 L592:V592 H315:V315 L395:V395 G630:V636 H578:V578" formula="1"/>
    <ignoredError sqref="G374" evalError="1"/>
    <ignoredError sqref="H374:J374" evalError="1" formula="1"/>
  </ignoredErrors>
  <drawing r:id="rId638"/>
  <legacyDrawing r:id="rId6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Artículos Publicitarios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2025-04-03T14:11:42Z</cp:lastPrinted>
  <dcterms:created xsi:type="dcterms:W3CDTF">2003-01-03T20:20:32Z</dcterms:created>
  <dcterms:modified xsi:type="dcterms:W3CDTF">2025-04-03T15:05:15Z</dcterms:modified>
</cp:coreProperties>
</file>